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3815" windowHeight="6615"/>
  </bookViews>
  <sheets>
    <sheet name="Arkusz1" sheetId="1" r:id="rId1"/>
    <sheet name="Arkusz2" sheetId="2" r:id="rId2"/>
    <sheet name="Arkusz3" sheetId="3" r:id="rId3"/>
  </sheets>
  <externalReferences>
    <externalReference r:id="rId4"/>
    <externalReference r:id="rId5"/>
  </externalReferences>
  <definedNames>
    <definedName name="_xlnm.Print_Area" localSheetId="0">Arkusz1!$A$1:$M$57</definedName>
  </definedNames>
  <calcPr calcId="125725"/>
</workbook>
</file>

<file path=xl/calcChain.xml><?xml version="1.0" encoding="utf-8"?>
<calcChain xmlns="http://schemas.openxmlformats.org/spreadsheetml/2006/main">
  <c r="C12" i="1"/>
  <c r="D7" l="1"/>
  <c r="C44"/>
  <c r="E8" i="2"/>
  <c r="D3" i="1" l="1"/>
  <c r="D4"/>
  <c r="F7" i="3"/>
  <c r="G7"/>
  <c r="H7"/>
  <c r="I7"/>
  <c r="J7"/>
  <c r="K7"/>
  <c r="E7"/>
  <c r="G7" i="1"/>
  <c r="H7" s="1"/>
  <c r="I7" s="1"/>
  <c r="J7" s="1"/>
  <c r="K7" s="1"/>
  <c r="L7" s="1"/>
  <c r="M7" s="1"/>
  <c r="F7"/>
  <c r="G29"/>
  <c r="F29"/>
  <c r="E29"/>
  <c r="D29"/>
  <c r="C29"/>
  <c r="D22"/>
  <c r="D44" s="1"/>
  <c r="E22"/>
  <c r="F22"/>
  <c r="G22"/>
  <c r="H22"/>
  <c r="I22"/>
  <c r="J22"/>
  <c r="K22"/>
  <c r="L22"/>
  <c r="M22"/>
  <c r="C22"/>
  <c r="E4"/>
  <c r="E11"/>
  <c r="F11"/>
  <c r="G11" s="1"/>
  <c r="H11" s="1"/>
  <c r="I11" s="1"/>
  <c r="J11" s="1"/>
  <c r="K11" s="1"/>
  <c r="L11" s="1"/>
  <c r="M11" s="1"/>
  <c r="E10"/>
  <c r="F10" s="1"/>
  <c r="G10" s="1"/>
  <c r="H10" s="1"/>
  <c r="I10" s="1"/>
  <c r="J10" s="1"/>
  <c r="K10" s="1"/>
  <c r="L10" s="1"/>
  <c r="M10" s="1"/>
  <c r="E44" l="1"/>
  <c r="F44"/>
  <c r="G44" s="1"/>
  <c r="H44" s="1"/>
  <c r="I44" s="1"/>
  <c r="J44" s="1"/>
  <c r="K44" s="1"/>
  <c r="L44" s="1"/>
  <c r="M44" s="1"/>
  <c r="D12"/>
  <c r="E12" s="1"/>
  <c r="F12" s="1"/>
  <c r="G12" s="1"/>
  <c r="H12" s="1"/>
  <c r="I12" s="1"/>
  <c r="J12" s="1"/>
  <c r="K12" s="1"/>
  <c r="L12" s="1"/>
  <c r="M12" s="1"/>
  <c r="F4" l="1"/>
  <c r="H29"/>
  <c r="H53" s="1"/>
  <c r="I29"/>
  <c r="I53" s="1"/>
  <c r="J29"/>
  <c r="J53" s="1"/>
  <c r="K29"/>
  <c r="K53" s="1"/>
  <c r="L29"/>
  <c r="M29"/>
  <c r="M53" s="1"/>
  <c r="D13"/>
  <c r="E13"/>
  <c r="F13"/>
  <c r="G13"/>
  <c r="H13"/>
  <c r="I13"/>
  <c r="J13"/>
  <c r="K13"/>
  <c r="L13"/>
  <c r="M13"/>
  <c r="L53"/>
  <c r="H57"/>
  <c r="I57"/>
  <c r="J57"/>
  <c r="K57"/>
  <c r="L57"/>
  <c r="M57"/>
  <c r="G4" l="1"/>
  <c r="L21"/>
  <c r="J21"/>
  <c r="H21"/>
  <c r="M21"/>
  <c r="K21"/>
  <c r="I21"/>
  <c r="H4" l="1"/>
  <c r="H6"/>
  <c r="H48" l="1"/>
  <c r="H16"/>
  <c r="H20" s="1"/>
  <c r="H38" s="1"/>
  <c r="I4"/>
  <c r="I6"/>
  <c r="H39" l="1"/>
  <c r="H54" s="1"/>
  <c r="H55" s="1"/>
  <c r="H58" s="1"/>
  <c r="I16"/>
  <c r="I20" s="1"/>
  <c r="I38" s="1"/>
  <c r="I48"/>
  <c r="J6"/>
  <c r="D8" i="2"/>
  <c r="C8"/>
  <c r="K49" i="1" l="1"/>
  <c r="C10" i="2"/>
  <c r="C49" i="1"/>
  <c r="I39"/>
  <c r="I54" s="1"/>
  <c r="I55" s="1"/>
  <c r="I58" s="1"/>
  <c r="H42"/>
  <c r="J16"/>
  <c r="J20" s="1"/>
  <c r="J38" s="1"/>
  <c r="J48"/>
  <c r="K6"/>
  <c r="L49" s="1"/>
  <c r="F57"/>
  <c r="G57"/>
  <c r="D53"/>
  <c r="D54" s="1"/>
  <c r="E53"/>
  <c r="E54" s="1"/>
  <c r="F53"/>
  <c r="G53"/>
  <c r="C57"/>
  <c r="D6"/>
  <c r="E6"/>
  <c r="F6"/>
  <c r="G6"/>
  <c r="J49" l="1"/>
  <c r="G49"/>
  <c r="I49"/>
  <c r="I50" s="1"/>
  <c r="H49"/>
  <c r="H50" s="1"/>
  <c r="J39"/>
  <c r="J54" s="1"/>
  <c r="J55" s="1"/>
  <c r="J58" s="1"/>
  <c r="I42"/>
  <c r="J50"/>
  <c r="M6"/>
  <c r="L6"/>
  <c r="M49" s="1"/>
  <c r="K16"/>
  <c r="K20" s="1"/>
  <c r="K38" s="1"/>
  <c r="K48"/>
  <c r="K50" s="1"/>
  <c r="D55"/>
  <c r="G16"/>
  <c r="G20" s="1"/>
  <c r="F16"/>
  <c r="F20" s="1"/>
  <c r="E52"/>
  <c r="E16"/>
  <c r="E20" s="1"/>
  <c r="E55"/>
  <c r="D52"/>
  <c r="D16"/>
  <c r="D20" s="1"/>
  <c r="E57"/>
  <c r="D57"/>
  <c r="G21"/>
  <c r="F21"/>
  <c r="E21"/>
  <c r="D21"/>
  <c r="D51" s="1"/>
  <c r="C21"/>
  <c r="E48" l="1"/>
  <c r="E51"/>
  <c r="K39"/>
  <c r="K54" s="1"/>
  <c r="K55" s="1"/>
  <c r="K58" s="1"/>
  <c r="J42"/>
  <c r="L16"/>
  <c r="L20" s="1"/>
  <c r="L38" s="1"/>
  <c r="L48"/>
  <c r="L50" s="1"/>
  <c r="M16"/>
  <c r="M20" s="1"/>
  <c r="M38" s="1"/>
  <c r="M48"/>
  <c r="D58"/>
  <c r="E58"/>
  <c r="G48"/>
  <c r="G50" s="1"/>
  <c r="G38"/>
  <c r="F48"/>
  <c r="F38"/>
  <c r="E38"/>
  <c r="E42" s="1"/>
  <c r="D48"/>
  <c r="D38"/>
  <c r="D42" s="1"/>
  <c r="K42" l="1"/>
  <c r="M39"/>
  <c r="M54" s="1"/>
  <c r="M55" s="1"/>
  <c r="M58" s="1"/>
  <c r="L39"/>
  <c r="L54" s="1"/>
  <c r="L55" s="1"/>
  <c r="L58" s="1"/>
  <c r="G39"/>
  <c r="G54" s="1"/>
  <c r="G55" s="1"/>
  <c r="G58" s="1"/>
  <c r="F39"/>
  <c r="F54" s="1"/>
  <c r="F55" s="1"/>
  <c r="F58" s="1"/>
  <c r="M50"/>
  <c r="C6"/>
  <c r="C51" s="1"/>
  <c r="G42" l="1"/>
  <c r="L42"/>
  <c r="M42"/>
  <c r="F42"/>
  <c r="C48"/>
  <c r="C50" s="1"/>
  <c r="C52"/>
  <c r="C13" l="1"/>
  <c r="C53" l="1"/>
  <c r="D49" s="1"/>
  <c r="C16"/>
  <c r="C20" s="1"/>
  <c r="C38" s="1"/>
  <c r="D50" l="1"/>
  <c r="E49"/>
  <c r="E50" s="1"/>
  <c r="F49"/>
  <c r="F50" s="1"/>
  <c r="C42"/>
  <c r="C54" l="1"/>
  <c r="C55" s="1"/>
  <c r="C58" s="1"/>
</calcChain>
</file>

<file path=xl/sharedStrings.xml><?xml version="1.0" encoding="utf-8"?>
<sst xmlns="http://schemas.openxmlformats.org/spreadsheetml/2006/main" count="163" uniqueCount="131">
  <si>
    <t>Wynik budżetu po wykonaniu wydatków bieżących (bez obsługi długu) (1-2)</t>
  </si>
  <si>
    <t>Nadwyżka budżetowa z lat ubiegłych plus wolne środki, zgodnie z art. 217 ufp, w tym</t>
  </si>
  <si>
    <t>Spłata i obsługa długu, z tego:</t>
  </si>
  <si>
    <t>Inne rozchody (bez spłaty długu np. udzielane pożyczki)</t>
  </si>
  <si>
    <t>Środki do dyspozycji na wydatki majątkowe (6-7-8)</t>
  </si>
  <si>
    <t/>
  </si>
  <si>
    <t>14</t>
  </si>
  <si>
    <t>15</t>
  </si>
  <si>
    <t>Wydatki bieżące razem (2 + 7b)</t>
  </si>
  <si>
    <t>Wydatki ogółem (10+19)</t>
  </si>
  <si>
    <t>Wynik budżetu (1 - 20)</t>
  </si>
  <si>
    <t>Przychody budżetu</t>
  </si>
  <si>
    <t>Rozchody budżetu (7a + 8)</t>
  </si>
  <si>
    <t xml:space="preserve">  dochody bieżące</t>
  </si>
  <si>
    <t xml:space="preserve">  dochody majątkowe, w tym:</t>
  </si>
  <si>
    <t xml:space="preserve">  z tytułu gwarancji i poręczeń, w tym:</t>
  </si>
  <si>
    <t xml:space="preserve">  wydatki bieżące na obsługę długu</t>
  </si>
  <si>
    <t xml:space="preserve">  wydatki majątkowe objęte limitem art. 226 ust. 4 ufp</t>
  </si>
  <si>
    <t>a )</t>
  </si>
  <si>
    <t>b )</t>
  </si>
  <si>
    <t>c )</t>
  </si>
  <si>
    <t>10.</t>
  </si>
  <si>
    <t>a)</t>
  </si>
  <si>
    <t>11.</t>
  </si>
  <si>
    <t>12.</t>
  </si>
  <si>
    <t>13.</t>
  </si>
  <si>
    <t>16.</t>
  </si>
  <si>
    <t>17.</t>
  </si>
  <si>
    <t>18.</t>
  </si>
  <si>
    <t>19.</t>
  </si>
  <si>
    <t>20.</t>
  </si>
  <si>
    <t>21.</t>
  </si>
  <si>
    <t>22.</t>
  </si>
  <si>
    <t>23.</t>
  </si>
  <si>
    <t>5.</t>
  </si>
  <si>
    <t>6.</t>
  </si>
  <si>
    <t>1.</t>
  </si>
  <si>
    <t>2.</t>
  </si>
  <si>
    <t>3.</t>
  </si>
  <si>
    <t>4.</t>
  </si>
  <si>
    <t>7.</t>
  </si>
  <si>
    <t>8.</t>
  </si>
  <si>
    <t>9.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</si>
  <si>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</si>
  <si>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</si>
  <si>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</si>
  <si>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</si>
  <si>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</si>
  <si>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</si>
  <si>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</si>
  <si>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</si>
  <si>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</si>
  <si>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</si>
  <si>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</si>
  <si>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</si>
  <si>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</si>
  <si>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</si>
  <si>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</si>
  <si>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</si>
  <si>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</si>
  <si>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</si>
  <si>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 xml:space="preserve">  rozchody z tytułu spłaty rat kapitałowych oraz wykupu 
  papierów wartościowych</t>
  </si>
  <si>
    <t xml:space="preserve">  kwota wyłączeń z art. 243 ust. 3 pkt 1 ufp oraz z art. 170 
  ust. 3 sufp przypadająca na dany rok budżetowy</t>
  </si>
  <si>
    <t>Poz. 1 jest sumą pozycji 1a+1b.</t>
  </si>
  <si>
    <t>Kwota wykazana w tej pozycji musi być zgodna z kwotą wykazaną w załączniku przedsięwzięć.</t>
  </si>
  <si>
    <t>W pozycji podaje się kwotę, o której mowa w art. 244 ufp.</t>
  </si>
  <si>
    <t>Poz. 17-18 są wypełniane tylko do roku 2013 włącznie.</t>
  </si>
  <si>
    <t>Poz. 2 nie musi być sumą podpozycji. Pozycja powinna zawierać też spłatę zobowiązań wymagalnych z lat ubiegłych stanowiących wydatki bieżące, o ile takie powstały</t>
  </si>
  <si>
    <t>W tej pozycji należy wykazać wynagrodzenie ze wszystkich tytułów, a nie tylko wynagrodzenia ze stosunku o pracę.</t>
  </si>
  <si>
    <t>Za wydatki związane z funkcjonowaniem organów JST proponuje się uznać wydatki klasyfikowane w rozdziałach 75017-75020, 75022-75023.</t>
  </si>
  <si>
    <t>Inne przychody w tej pozycji to: prywatyzacja, zwrot do budżetu od innych podmiotów udzielonych pożyczek</t>
  </si>
  <si>
    <t>Pozycja powinna zawierać też spłatę zobowiązań wymagalnych z lat ubiegłych stanowiących wydatki majątkowe, o ile takie powstały.</t>
  </si>
  <si>
    <t>Wszystkie kredyty i pożyczki oraz emitowane papiery wartościowe, z wyjątkiem art. 89 ust. 1 pkt 1 i 3 ufp.</t>
  </si>
  <si>
    <t>Wynik finansowy budżetu jest odmienną pozycją niż wynik budżetu w tradycyjnym rozumieniu (dochody- wydatki) gdyż do wyniku finansowego budżetu włączono także przychody i rozchody.</t>
  </si>
  <si>
    <t>Skrót sufp oznacza ustawę z dnia 30 czerwca 2005 r. o finansach publicznych (Dz.U. Nr 249. poz. 2104, z poźń. zm.).</t>
  </si>
  <si>
    <t>W pozycji tej pokazuje się wartość wynikającą z obliczeń przeprowadzonych dla lewej strony wzoru, określonego w art. 243 ufp.</t>
  </si>
  <si>
    <t>W pozycji tej pokazuje się wartość wynikającą z obliczeń przeprowadzonych dla prawej strony wzoru określonego w art. 243 ufp.</t>
  </si>
  <si>
    <t>W pozycji 16 należy wyliczyć lewą stronę wzoru z uwzględnieniem pozycji 14 i porównać z prawą stroną wzoru wyliczoną w poz. 15, co pozwoli określić czy został spełniony warunek art. 243 ufp</t>
  </si>
  <si>
    <t>W pozycjach 17 i 18 nie uwzględnia się zobowiązań związku współtworzonego przez jednostkę samorządu terytorialnego.</t>
  </si>
  <si>
    <t>Wartości przyjęte w wieloletniej prognozie finansowej i budżecie jednostki samorządu terytorialnego powinny być zgodne co najmniej w zakresie wyniku budżetu i związanych z nim kwot przychodów i rozchodów oraz długu jednostki samorządu terytorialnego. Ponadto uchwała budżetowa określa wydatki na realizowane przedsięwzięcia w wysokości umożliwiającej ich terminowe zakończenie</t>
  </si>
  <si>
    <t>W pozycji tej należy podać łączną kwotę długu na koniec roku budżetowego z wszystkich tytułów dłużnych i elementów wpływających na dług m.in. zobowiązania wymagalne, umorzenia pożyczek, zmiany kursowe. Natomiast w objaśnieniach należałoby wykazać m.in. kwotę umorzeń pożyczek otrzymanych przez JST, zmianę kwoty długu na skutek różnic kursowych.</t>
  </si>
  <si>
    <t>Wyszczególnienie</t>
  </si>
  <si>
    <t>Lp.</t>
  </si>
  <si>
    <t>2011 r.</t>
  </si>
  <si>
    <t>2012 r.</t>
  </si>
  <si>
    <t>2013 r.</t>
  </si>
  <si>
    <t>2014 r.</t>
  </si>
  <si>
    <t xml:space="preserve">  -  ze sprzedaży majątku</t>
  </si>
  <si>
    <t xml:space="preserve">   - gwarancje i poręczenia podlegające wyłączeniu z 
    limitów spłaty zobowiązań z art. 243 ufp/169sufp</t>
  </si>
  <si>
    <r>
      <t>Dochody ogółem</t>
    </r>
    <r>
      <rPr>
        <b/>
        <vertAlign val="superscript"/>
        <sz val="10"/>
        <color theme="1"/>
        <rFont val="Arial"/>
        <family val="2"/>
        <charset val="238"/>
      </rPr>
      <t>2)</t>
    </r>
    <r>
      <rPr>
        <b/>
        <sz val="10"/>
        <color theme="1"/>
        <rFont val="Arial"/>
        <family val="2"/>
        <charset val="238"/>
      </rPr>
      <t>, z tego:</t>
    </r>
  </si>
  <si>
    <r>
      <t xml:space="preserve">  na wynagrodzenia i składki od nich naliczane</t>
    </r>
    <r>
      <rPr>
        <vertAlign val="superscript"/>
        <sz val="10"/>
        <color theme="1"/>
        <rFont val="Arial"/>
        <family val="2"/>
        <charset val="238"/>
      </rPr>
      <t>4)</t>
    </r>
  </si>
  <si>
    <r>
      <t xml:space="preserve">  związane z funkcjonowaniem organów JST</t>
    </r>
    <r>
      <rPr>
        <vertAlign val="superscript"/>
        <sz val="10"/>
        <color theme="1"/>
        <rFont val="Arial"/>
        <family val="2"/>
        <charset val="238"/>
      </rPr>
      <t>5)</t>
    </r>
  </si>
  <si>
    <r>
      <t>Inne przychody niezwiązane z zaciągnięciem długu</t>
    </r>
    <r>
      <rPr>
        <b/>
        <vertAlign val="superscript"/>
        <sz val="10"/>
        <color theme="1"/>
        <rFont val="Arial"/>
        <family val="2"/>
        <charset val="238"/>
      </rPr>
      <t>7)</t>
    </r>
  </si>
  <si>
    <r>
      <t>Wydatki majątkowe</t>
    </r>
    <r>
      <rPr>
        <b/>
        <vertAlign val="superscript"/>
        <sz val="10"/>
        <color theme="1"/>
        <rFont val="Arial"/>
        <family val="2"/>
        <charset val="238"/>
      </rPr>
      <t>8)</t>
    </r>
    <r>
      <rPr>
        <b/>
        <sz val="10"/>
        <color theme="1"/>
        <rFont val="Arial"/>
        <family val="2"/>
        <charset val="238"/>
      </rPr>
      <t>, w tym:</t>
    </r>
  </si>
  <si>
    <r>
      <t>Przychody (kredyty, pożyczki, emisje obligacji)</t>
    </r>
    <r>
      <rPr>
        <b/>
        <vertAlign val="superscript"/>
        <sz val="10"/>
        <color theme="1"/>
        <rFont val="Arial"/>
        <family val="2"/>
        <charset val="238"/>
      </rPr>
      <t>9)</t>
    </r>
  </si>
  <si>
    <r>
      <t>Wynik finansowy budżetu (9-10+11)</t>
    </r>
    <r>
      <rPr>
        <b/>
        <vertAlign val="superscript"/>
        <sz val="10"/>
        <color theme="1"/>
        <rFont val="Arial"/>
        <family val="2"/>
        <charset val="238"/>
      </rPr>
      <t>10)</t>
    </r>
  </si>
  <si>
    <r>
      <t>Kwota długu</t>
    </r>
    <r>
      <rPr>
        <b/>
        <vertAlign val="superscript"/>
        <sz val="10"/>
        <color theme="1"/>
        <rFont val="Arial"/>
        <family val="2"/>
        <charset val="238"/>
      </rPr>
      <t>11)</t>
    </r>
    <r>
      <rPr>
        <b/>
        <sz val="10"/>
        <color theme="1"/>
        <rFont val="Arial"/>
        <family val="2"/>
        <charset val="238"/>
      </rPr>
      <t>, w tym:</t>
    </r>
  </si>
  <si>
    <r>
      <t>Kwota zobowiązań związku współtworzonego przez jst przypadających do spłaty w danym roku budżetowym podlegające doliczeniu zgodnie z art. 244 ufp</t>
    </r>
    <r>
      <rPr>
        <b/>
        <vertAlign val="superscript"/>
        <sz val="10"/>
        <color theme="1"/>
        <rFont val="Arial"/>
        <family val="2"/>
        <charset val="238"/>
      </rPr>
      <t>13)</t>
    </r>
  </si>
  <si>
    <r>
      <t>Planowana łączna kwota spłaty zobowiązań</t>
    </r>
    <r>
      <rPr>
        <b/>
        <vertAlign val="superscript"/>
        <sz val="10"/>
        <color theme="1"/>
        <rFont val="Arial"/>
        <family val="2"/>
        <charset val="238"/>
      </rPr>
      <t>14)</t>
    </r>
  </si>
  <si>
    <r>
      <t xml:space="preserve">  maksymalny dopuszczalny wskaźnik spłaty z art. 243 ufp</t>
    </r>
    <r>
      <rPr>
        <vertAlign val="superscript"/>
        <sz val="10"/>
        <color theme="1"/>
        <rFont val="Arial"/>
        <family val="2"/>
        <charset val="238"/>
      </rPr>
      <t>15)</t>
    </r>
  </si>
  <si>
    <r>
      <t xml:space="preserve">Spełnienie wskaźnika spłaty z art. 243 ufp po uwzględnieniu art. 244 ufp </t>
    </r>
    <r>
      <rPr>
        <b/>
        <vertAlign val="superscript"/>
        <sz val="10"/>
        <color theme="1"/>
        <rFont val="Arial"/>
        <family val="2"/>
        <charset val="238"/>
      </rPr>
      <t>16)</t>
    </r>
  </si>
  <si>
    <r>
      <t>Planowana łączna kwota spłaty zobowiązań /dochody ogółem -max 15% z art. 169 sufp</t>
    </r>
    <r>
      <rPr>
        <b/>
        <vertAlign val="superscript"/>
        <sz val="10"/>
        <color theme="1"/>
        <rFont val="Arial"/>
        <family val="2"/>
        <charset val="238"/>
      </rPr>
      <t>17)</t>
    </r>
  </si>
  <si>
    <r>
      <t>Zadłużenie/dochody ogółem (13 –13a):1) - max 60% z art. 170 sufp</t>
    </r>
    <r>
      <rPr>
        <b/>
        <vertAlign val="superscript"/>
        <sz val="10"/>
        <color theme="1"/>
        <rFont val="Arial"/>
        <family val="2"/>
        <charset val="238"/>
      </rPr>
      <t>18)</t>
    </r>
  </si>
  <si>
    <t>d )</t>
  </si>
  <si>
    <r>
      <t xml:space="preserve">  wydatki bieżące objęte limitem art. 226 ust. 4 ufp</t>
    </r>
    <r>
      <rPr>
        <vertAlign val="superscript"/>
        <sz val="10"/>
        <color theme="1"/>
        <rFont val="Arial"/>
        <family val="2"/>
        <charset val="238"/>
      </rPr>
      <t>6)</t>
    </r>
  </si>
  <si>
    <r>
      <t>Wydatki bieżące</t>
    </r>
    <r>
      <rPr>
        <b/>
        <vertAlign val="superscript"/>
        <sz val="10"/>
        <color theme="1"/>
        <rFont val="Arial"/>
        <family val="2"/>
        <charset val="238"/>
      </rPr>
      <t>3)</t>
    </r>
    <r>
      <rPr>
        <b/>
        <sz val="10"/>
        <color theme="1"/>
        <rFont val="Arial"/>
        <family val="2"/>
        <charset val="238"/>
      </rPr>
      <t xml:space="preserve"> (bez odsetek i prowizji od: kredytów i pożyczek oraz wyemitowanych papierów wartościowych),
w tym:</t>
    </r>
  </si>
  <si>
    <t xml:space="preserve"> -  nadwyżka budżetowa z lat ubiegłych plus wolne środki, 
    zgodnie z art. 217 ufp, angażowane na pokrycie 
    deficytu budżetu roku bieżącego</t>
  </si>
  <si>
    <t>* kwoty w poz.: 1, 1a, 1c, 2, 2c, 2d, 7, 7a, 7b, 11, 13, 13a, 13b,14, 15 oraz 16-18 (komórki oznaczone kolorem niebieskim) należy wykazać w całym okresie, na który zaciągnięto oraz planuje się zaciągnąć zobowiązania</t>
  </si>
  <si>
    <r>
      <t xml:space="preserve">** powinna zostać spełniona zależność odnośnie lewej strony wzoru po uwzględnieniu poz. 14 w stosunku do prawej strony wzoru - </t>
    </r>
    <r>
      <rPr>
        <b/>
        <sz val="10"/>
        <rFont val="Arial"/>
        <family val="2"/>
        <charset val="238"/>
      </rPr>
      <t>niewłaściwe skreślić**</t>
    </r>
  </si>
  <si>
    <t>Środki do dyspozycji (3+4+5) na  (7+8+9)</t>
  </si>
  <si>
    <t>x</t>
  </si>
  <si>
    <t>pozyczka2003</t>
  </si>
  <si>
    <t xml:space="preserve">kredyt euro </t>
  </si>
  <si>
    <t>obligacje2009</t>
  </si>
  <si>
    <t>obligacje2010</t>
  </si>
  <si>
    <t>prowizje</t>
  </si>
  <si>
    <t xml:space="preserve">Wydatki bieżące </t>
  </si>
  <si>
    <t>2010 3kw</t>
  </si>
  <si>
    <t>2015 r.</t>
  </si>
  <si>
    <t>2016 r.</t>
  </si>
  <si>
    <t>2017 r.</t>
  </si>
  <si>
    <t>2018 r.</t>
  </si>
  <si>
    <t>2019 r.</t>
  </si>
  <si>
    <t>2020 r.</t>
  </si>
  <si>
    <t>2021 r.</t>
  </si>
  <si>
    <t>obligacje 2011</t>
  </si>
  <si>
    <t>obligaacje 2011</t>
  </si>
  <si>
    <t>obligacje 2012</t>
  </si>
  <si>
    <r>
      <t xml:space="preserve">  łączna kwota wyłączeń z art. 243 ust. 3 pkt 1 ufp oraz
  z art. 170 ust. 3 sufp</t>
    </r>
    <r>
      <rPr>
        <b/>
        <vertAlign val="superscript"/>
        <sz val="10"/>
        <rFont val="Arial"/>
        <family val="2"/>
        <charset val="238"/>
      </rPr>
      <t>12)</t>
    </r>
  </si>
  <si>
    <t>Wieloletnia prognoza finansowa Gminy Widuchowa na lata 2011 - 2021</t>
  </si>
  <si>
    <t>Załącznik Nr 1
do Uchwały Nr V/33/2011 Rady Gminy Widuchowa 
z dnia 28 lutego 2011 r.</t>
  </si>
</sst>
</file>

<file path=xl/styles.xml><?xml version="1.0" encoding="utf-8"?>
<styleSheet xmlns="http://schemas.openxmlformats.org/spreadsheetml/2006/main">
  <numFmts count="1">
    <numFmt numFmtId="164" formatCode="0.0000"/>
  </numFmts>
  <fonts count="14">
    <font>
      <sz val="11"/>
      <color theme="1"/>
      <name val="Czcionka tekstu podstawowego"/>
      <family val="2"/>
      <charset val="238"/>
    </font>
    <font>
      <vertAlign val="superscript"/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color theme="1"/>
      <name val="Arial ce"/>
      <charset val="238"/>
    </font>
    <font>
      <b/>
      <sz val="11"/>
      <color rgb="FFFF0000"/>
      <name val="Czcionka tekstu podstawowego"/>
      <family val="2"/>
      <charset val="238"/>
    </font>
    <font>
      <b/>
      <vertAlign val="superscript"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3" fillId="0" borderId="0" xfId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3" borderId="4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3" fontId="7" fillId="2" borderId="1" xfId="0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3" fontId="7" fillId="3" borderId="1" xfId="0" applyNumberFormat="1" applyFont="1" applyFill="1" applyBorder="1" applyAlignment="1">
      <alignment vertical="top" wrapText="1"/>
    </xf>
    <xf numFmtId="3" fontId="7" fillId="3" borderId="3" xfId="0" applyNumberFormat="1" applyFont="1" applyFill="1" applyBorder="1" applyAlignment="1">
      <alignment vertical="top" wrapText="1"/>
    </xf>
    <xf numFmtId="3" fontId="7" fillId="4" borderId="5" xfId="0" applyNumberFormat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vertical="top" wrapText="1"/>
    </xf>
    <xf numFmtId="3" fontId="7" fillId="5" borderId="1" xfId="0" applyNumberFormat="1" applyFont="1" applyFill="1" applyBorder="1" applyAlignment="1">
      <alignment vertical="top" wrapText="1"/>
    </xf>
    <xf numFmtId="3" fontId="7" fillId="0" borderId="0" xfId="0" applyNumberFormat="1" applyFont="1" applyAlignment="1">
      <alignment vertical="top" wrapText="1"/>
    </xf>
    <xf numFmtId="3" fontId="7" fillId="0" borderId="1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right" vertical="top" wrapText="1"/>
    </xf>
    <xf numFmtId="0" fontId="11" fillId="0" borderId="1" xfId="0" applyFont="1" applyBorder="1" applyAlignment="1">
      <alignment vertical="top" wrapText="1"/>
    </xf>
    <xf numFmtId="3" fontId="11" fillId="2" borderId="1" xfId="0" applyNumberFormat="1" applyFont="1" applyFill="1" applyBorder="1" applyAlignment="1">
      <alignment vertical="top" wrapText="1"/>
    </xf>
    <xf numFmtId="0" fontId="11" fillId="0" borderId="0" xfId="0" applyFont="1" applyAlignment="1">
      <alignment wrapText="1"/>
    </xf>
    <xf numFmtId="0" fontId="11" fillId="0" borderId="4" xfId="0" applyFont="1" applyBorder="1" applyAlignment="1">
      <alignment horizontal="right" vertical="top" wrapText="1"/>
    </xf>
    <xf numFmtId="0" fontId="11" fillId="0" borderId="6" xfId="0" applyFont="1" applyBorder="1" applyAlignment="1">
      <alignment horizontal="right" vertical="top" wrapText="1"/>
    </xf>
    <xf numFmtId="4" fontId="0" fillId="0" borderId="0" xfId="0" applyNumberFormat="1"/>
    <xf numFmtId="10" fontId="7" fillId="0" borderId="1" xfId="0" applyNumberFormat="1" applyFont="1" applyBorder="1" applyAlignment="1">
      <alignment vertical="top" wrapText="1"/>
    </xf>
    <xf numFmtId="164" fontId="7" fillId="2" borderId="1" xfId="0" applyNumberFormat="1" applyFont="1" applyFill="1" applyBorder="1" applyAlignment="1">
      <alignment vertical="top" wrapText="1"/>
    </xf>
    <xf numFmtId="0" fontId="9" fillId="0" borderId="0" xfId="1" applyFont="1" applyBorder="1" applyAlignment="1">
      <alignment horizontal="center" vertical="center" wrapText="1"/>
    </xf>
    <xf numFmtId="3" fontId="0" fillId="0" borderId="0" xfId="0" applyNumberFormat="1"/>
    <xf numFmtId="10" fontId="0" fillId="0" borderId="0" xfId="0" applyNumberFormat="1"/>
    <xf numFmtId="0" fontId="12" fillId="0" borderId="0" xfId="0" applyFont="1" applyAlignment="1">
      <alignment wrapText="1"/>
    </xf>
    <xf numFmtId="3" fontId="10" fillId="2" borderId="1" xfId="0" applyNumberFormat="1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9" fillId="0" borderId="0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</cellXfs>
  <cellStyles count="2">
    <cellStyle name="Normalny" xfId="0" builtinId="0"/>
    <cellStyle name="Normalny_Prognoza i kredyty-tabele 2003" xfId="1"/>
  </cellStyles>
  <dxfs count="0"/>
  <tableStyles count="0" defaultTableStyle="TableStyleMedium9" defaultPivotStyle="PivotStyleLight16"/>
  <colors>
    <mruColors>
      <color rgb="FFFF5A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!/Budzet/2011/Wersja%20finalna%20-%20projekt/projWiduchowa2011final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!/Budzet/2011/projWiduchowa2011roboczy%20UE%20ver%2000%20bez%20wypelnienia%20kopia%20z%20dnia%2031paz2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</sheetNames>
    <sheetDataSet>
      <sheetData sheetId="0"/>
      <sheetData sheetId="1">
        <row r="76">
          <cell r="F76">
            <v>8800</v>
          </cell>
        </row>
        <row r="82">
          <cell r="F82">
            <v>69500</v>
          </cell>
        </row>
        <row r="87">
          <cell r="F87">
            <v>2185321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</sheetNames>
    <sheetDataSet>
      <sheetData sheetId="0"/>
      <sheetData sheetId="1">
        <row r="444">
          <cell r="L4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view="pageBreakPreview" zoomScale="80" zoomScaleNormal="100" zoomScaleSheetLayoutView="80" workbookViewId="0">
      <selection activeCell="A2" sqref="A2:M2"/>
    </sheetView>
  </sheetViews>
  <sheetFormatPr defaultRowHeight="14.25"/>
  <cols>
    <col min="1" max="1" width="5.5" style="1" customWidth="1"/>
    <col min="2" max="2" width="50.75" customWidth="1"/>
    <col min="3" max="13" width="13.75" customWidth="1"/>
  </cols>
  <sheetData>
    <row r="1" spans="1:13" ht="51" customHeight="1">
      <c r="B1" s="4"/>
      <c r="K1" s="50" t="s">
        <v>130</v>
      </c>
      <c r="L1" s="50"/>
    </row>
    <row r="2" spans="1:13" ht="30.75" customHeight="1">
      <c r="A2" s="52" t="s">
        <v>129</v>
      </c>
      <c r="B2" s="52"/>
      <c r="C2" s="52"/>
      <c r="D2" s="52"/>
      <c r="E2" s="53"/>
      <c r="F2" s="53"/>
      <c r="G2" s="53"/>
      <c r="H2" s="53"/>
      <c r="I2" s="53"/>
      <c r="J2" s="53"/>
      <c r="K2" s="53"/>
      <c r="L2" s="53"/>
      <c r="M2" s="53"/>
    </row>
    <row r="3" spans="1:13" ht="14.25" hidden="1" customHeight="1">
      <c r="A3" s="43"/>
      <c r="B3" s="43"/>
      <c r="C3" s="43"/>
      <c r="D3" s="43">
        <f>(D10-C10)/C10</f>
        <v>3.0597254823950665E-2</v>
      </c>
    </row>
    <row r="4" spans="1:13" hidden="1">
      <c r="D4" s="45">
        <f>(D7-C7)/C7</f>
        <v>5.693565807745718E-2</v>
      </c>
      <c r="E4" s="45">
        <f t="shared" ref="E4:I4" si="0">(E7-D7)/D7</f>
        <v>7.5810000000000002E-2</v>
      </c>
      <c r="F4" s="45">
        <f t="shared" si="0"/>
        <v>5.1660480302161735E-2</v>
      </c>
      <c r="G4" s="45">
        <f t="shared" si="0"/>
        <v>0.03</v>
      </c>
      <c r="H4" s="45">
        <f t="shared" si="0"/>
        <v>0.03</v>
      </c>
      <c r="I4" s="45">
        <f t="shared" si="0"/>
        <v>0.03</v>
      </c>
    </row>
    <row r="5" spans="1:13">
      <c r="A5" s="5" t="s">
        <v>82</v>
      </c>
      <c r="B5" s="5" t="s">
        <v>81</v>
      </c>
      <c r="C5" s="6" t="s">
        <v>83</v>
      </c>
      <c r="D5" s="5" t="s">
        <v>84</v>
      </c>
      <c r="E5" s="5" t="s">
        <v>85</v>
      </c>
      <c r="F5" s="6" t="s">
        <v>86</v>
      </c>
      <c r="G5" s="5" t="s">
        <v>118</v>
      </c>
      <c r="H5" s="5" t="s">
        <v>119</v>
      </c>
      <c r="I5" s="5" t="s">
        <v>120</v>
      </c>
      <c r="J5" s="5" t="s">
        <v>121</v>
      </c>
      <c r="K5" s="5" t="s">
        <v>122</v>
      </c>
      <c r="L5" s="5" t="s">
        <v>123</v>
      </c>
      <c r="M5" s="5" t="s">
        <v>124</v>
      </c>
    </row>
    <row r="6" spans="1:13" s="2" customFormat="1">
      <c r="A6" s="7" t="s">
        <v>36</v>
      </c>
      <c r="B6" s="8" t="s">
        <v>89</v>
      </c>
      <c r="C6" s="25">
        <f>SUM(C7:C8)</f>
        <v>18228413</v>
      </c>
      <c r="D6" s="25">
        <f t="shared" ref="D6:G6" si="1">SUM(D7:D8)</f>
        <v>16400000</v>
      </c>
      <c r="E6" s="25">
        <f t="shared" si="1"/>
        <v>16660597</v>
      </c>
      <c r="F6" s="25">
        <f t="shared" si="1"/>
        <v>15800000</v>
      </c>
      <c r="G6" s="25">
        <f t="shared" si="1"/>
        <v>16265000</v>
      </c>
      <c r="H6" s="25">
        <f t="shared" ref="H6:M6" si="2">SUM(H7:H8)</f>
        <v>16743950</v>
      </c>
      <c r="I6" s="25">
        <f t="shared" si="2"/>
        <v>17237268.5</v>
      </c>
      <c r="J6" s="25">
        <f t="shared" si="2"/>
        <v>17745386.555</v>
      </c>
      <c r="K6" s="25">
        <f t="shared" si="2"/>
        <v>18268748.15165</v>
      </c>
      <c r="L6" s="25">
        <f t="shared" si="2"/>
        <v>18807810.596199501</v>
      </c>
      <c r="M6" s="25">
        <f t="shared" si="2"/>
        <v>19363044.914085485</v>
      </c>
    </row>
    <row r="7" spans="1:13" s="2" customFormat="1">
      <c r="A7" s="9" t="s">
        <v>18</v>
      </c>
      <c r="B7" s="10" t="s">
        <v>13</v>
      </c>
      <c r="C7" s="25">
        <v>12962000</v>
      </c>
      <c r="D7" s="25">
        <f>13700000</f>
        <v>13700000</v>
      </c>
      <c r="E7" s="25">
        <v>14738597</v>
      </c>
      <c r="F7" s="25">
        <f>15500000</f>
        <v>15500000</v>
      </c>
      <c r="G7" s="25">
        <f>F7*1.03</f>
        <v>15965000</v>
      </c>
      <c r="H7" s="25">
        <f t="shared" ref="H7:M7" si="3">G7*1.03</f>
        <v>16443950</v>
      </c>
      <c r="I7" s="25">
        <f t="shared" si="3"/>
        <v>16937268.5</v>
      </c>
      <c r="J7" s="25">
        <f t="shared" si="3"/>
        <v>17445386.555</v>
      </c>
      <c r="K7" s="25">
        <f t="shared" si="3"/>
        <v>17968748.15165</v>
      </c>
      <c r="L7" s="25">
        <f t="shared" si="3"/>
        <v>18507810.596199501</v>
      </c>
      <c r="M7" s="25">
        <f t="shared" si="3"/>
        <v>19063044.914085485</v>
      </c>
    </row>
    <row r="8" spans="1:13" s="2" customFormat="1">
      <c r="A8" s="9" t="s">
        <v>19</v>
      </c>
      <c r="B8" s="11" t="s">
        <v>14</v>
      </c>
      <c r="C8" s="26">
        <v>5266413</v>
      </c>
      <c r="D8" s="26">
        <v>2700000</v>
      </c>
      <c r="E8" s="26">
        <v>1922000</v>
      </c>
      <c r="F8" s="26">
        <v>300000</v>
      </c>
      <c r="G8" s="26">
        <v>300000</v>
      </c>
      <c r="H8" s="26">
        <v>300000</v>
      </c>
      <c r="I8" s="26">
        <v>300000</v>
      </c>
      <c r="J8" s="26">
        <v>300000</v>
      </c>
      <c r="K8" s="26">
        <v>300000</v>
      </c>
      <c r="L8" s="26">
        <v>300000</v>
      </c>
      <c r="M8" s="26">
        <v>300000</v>
      </c>
    </row>
    <row r="9" spans="1:13" s="2" customFormat="1">
      <c r="A9" s="9"/>
      <c r="B9" s="11" t="s">
        <v>87</v>
      </c>
      <c r="C9" s="25">
        <v>190000</v>
      </c>
      <c r="D9" s="25">
        <v>400000</v>
      </c>
      <c r="E9" s="25">
        <v>422000</v>
      </c>
      <c r="F9" s="25">
        <v>300000</v>
      </c>
      <c r="G9" s="25">
        <v>300000</v>
      </c>
      <c r="H9" s="25">
        <v>300000</v>
      </c>
      <c r="I9" s="25">
        <v>300000</v>
      </c>
      <c r="J9" s="25">
        <v>300000</v>
      </c>
      <c r="K9" s="25">
        <v>300000</v>
      </c>
      <c r="L9" s="25">
        <v>300000</v>
      </c>
      <c r="M9" s="25">
        <v>300000</v>
      </c>
    </row>
    <row r="10" spans="1:13" s="2" customFormat="1" ht="51" customHeight="1">
      <c r="A10" s="7" t="s">
        <v>37</v>
      </c>
      <c r="B10" s="8" t="s">
        <v>105</v>
      </c>
      <c r="C10" s="25">
        <v>12567500</v>
      </c>
      <c r="D10" s="25">
        <v>12952031</v>
      </c>
      <c r="E10" s="25">
        <f t="shared" ref="E10:M10" si="4">D10*1.03</f>
        <v>13340591.93</v>
      </c>
      <c r="F10" s="25">
        <f t="shared" si="4"/>
        <v>13740809.687899999</v>
      </c>
      <c r="G10" s="25">
        <f t="shared" si="4"/>
        <v>14153033.978536999</v>
      </c>
      <c r="H10" s="25">
        <f t="shared" si="4"/>
        <v>14577624.99789311</v>
      </c>
      <c r="I10" s="25">
        <f t="shared" si="4"/>
        <v>15014953.747829903</v>
      </c>
      <c r="J10" s="25">
        <f t="shared" si="4"/>
        <v>15465402.3602648</v>
      </c>
      <c r="K10" s="25">
        <f t="shared" si="4"/>
        <v>15929364.431072745</v>
      </c>
      <c r="L10" s="25">
        <f t="shared" si="4"/>
        <v>16407245.364004929</v>
      </c>
      <c r="M10" s="25">
        <f t="shared" si="4"/>
        <v>16899462.724925078</v>
      </c>
    </row>
    <row r="11" spans="1:13" s="2" customFormat="1">
      <c r="A11" s="9" t="s">
        <v>18</v>
      </c>
      <c r="B11" s="11" t="s">
        <v>90</v>
      </c>
      <c r="C11" s="26">
        <v>5923327</v>
      </c>
      <c r="D11" s="26">
        <v>6098967</v>
      </c>
      <c r="E11" s="26">
        <f t="shared" ref="E11:M11" si="5">D11*1.03</f>
        <v>6281936.0099999998</v>
      </c>
      <c r="F11" s="26">
        <f t="shared" si="5"/>
        <v>6470394.0903000003</v>
      </c>
      <c r="G11" s="26">
        <f t="shared" si="5"/>
        <v>6664505.913009</v>
      </c>
      <c r="H11" s="26">
        <f t="shared" si="5"/>
        <v>6864441.0903992699</v>
      </c>
      <c r="I11" s="26">
        <f t="shared" si="5"/>
        <v>7070374.3231112482</v>
      </c>
      <c r="J11" s="26">
        <f t="shared" si="5"/>
        <v>7282485.5528045855</v>
      </c>
      <c r="K11" s="26">
        <f t="shared" si="5"/>
        <v>7500960.1193887237</v>
      </c>
      <c r="L11" s="26">
        <f t="shared" si="5"/>
        <v>7725988.9229703853</v>
      </c>
      <c r="M11" s="26">
        <f t="shared" si="5"/>
        <v>7957768.5906594973</v>
      </c>
    </row>
    <row r="12" spans="1:13" s="2" customFormat="1">
      <c r="A12" s="9" t="s">
        <v>19</v>
      </c>
      <c r="B12" s="11" t="s">
        <v>91</v>
      </c>
      <c r="C12" s="26">
        <f>SUM('[1]2'!$F$76,'[1]2'!$F$82,'[1]2'!$F$87)</f>
        <v>2263621</v>
      </c>
      <c r="D12" s="26">
        <f>C12*1.03</f>
        <v>2331529.63</v>
      </c>
      <c r="E12" s="26">
        <f t="shared" ref="E12:M12" si="6">D12*1.03</f>
        <v>2401475.5189</v>
      </c>
      <c r="F12" s="26">
        <f t="shared" si="6"/>
        <v>2473519.784467</v>
      </c>
      <c r="G12" s="26">
        <f t="shared" si="6"/>
        <v>2547725.37800101</v>
      </c>
      <c r="H12" s="26">
        <f t="shared" si="6"/>
        <v>2624157.1393410405</v>
      </c>
      <c r="I12" s="26">
        <f t="shared" si="6"/>
        <v>2702881.8535212716</v>
      </c>
      <c r="J12" s="26">
        <f t="shared" si="6"/>
        <v>2783968.3091269098</v>
      </c>
      <c r="K12" s="26">
        <f t="shared" si="6"/>
        <v>2867487.3584007174</v>
      </c>
      <c r="L12" s="26">
        <f t="shared" si="6"/>
        <v>2953511.979152739</v>
      </c>
      <c r="M12" s="26">
        <f t="shared" si="6"/>
        <v>3042117.3385273213</v>
      </c>
    </row>
    <row r="13" spans="1:13" s="2" customFormat="1">
      <c r="A13" s="9" t="s">
        <v>20</v>
      </c>
      <c r="B13" s="11" t="s">
        <v>15</v>
      </c>
      <c r="C13" s="25">
        <f>'[2]2'!$L$444</f>
        <v>0</v>
      </c>
      <c r="D13" s="25">
        <f>'[2]2'!$L$444</f>
        <v>0</v>
      </c>
      <c r="E13" s="25">
        <f>'[2]2'!$L$444</f>
        <v>0</v>
      </c>
      <c r="F13" s="25">
        <f>'[2]2'!$L$444</f>
        <v>0</v>
      </c>
      <c r="G13" s="25">
        <f>'[2]2'!$L$444</f>
        <v>0</v>
      </c>
      <c r="H13" s="25">
        <f>'[2]2'!$L$444</f>
        <v>0</v>
      </c>
      <c r="I13" s="25">
        <f>'[2]2'!$L$444</f>
        <v>0</v>
      </c>
      <c r="J13" s="25">
        <f>'[2]2'!$L$444</f>
        <v>0</v>
      </c>
      <c r="K13" s="25">
        <f>'[2]2'!$L$444</f>
        <v>0</v>
      </c>
      <c r="L13" s="25">
        <f>'[2]2'!$L$444</f>
        <v>0</v>
      </c>
      <c r="M13" s="25">
        <f>'[2]2'!$L$444</f>
        <v>0</v>
      </c>
    </row>
    <row r="14" spans="1:13" s="2" customFormat="1" ht="25.5">
      <c r="A14" s="9"/>
      <c r="B14" s="11" t="s">
        <v>88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</row>
    <row r="15" spans="1:13" s="2" customFormat="1">
      <c r="A15" s="9" t="s">
        <v>103</v>
      </c>
      <c r="B15" s="11" t="s">
        <v>104</v>
      </c>
      <c r="C15" s="26">
        <v>341872.83999999997</v>
      </c>
      <c r="D15" s="26">
        <v>223545.58</v>
      </c>
      <c r="E15" s="26">
        <v>11549</v>
      </c>
      <c r="F15" s="26">
        <v>7280</v>
      </c>
      <c r="G15" s="26">
        <v>0</v>
      </c>
      <c r="H15" s="26"/>
      <c r="I15" s="26"/>
      <c r="J15" s="26"/>
      <c r="K15" s="26"/>
      <c r="L15" s="26"/>
      <c r="M15" s="26"/>
    </row>
    <row r="16" spans="1:13" s="2" customFormat="1" ht="25.5">
      <c r="A16" s="7" t="s">
        <v>38</v>
      </c>
      <c r="B16" s="18" t="s">
        <v>0</v>
      </c>
      <c r="C16" s="27">
        <f>C6-C10</f>
        <v>5660913</v>
      </c>
      <c r="D16" s="27">
        <f t="shared" ref="D16:G16" si="7">D6-D10</f>
        <v>3447969</v>
      </c>
      <c r="E16" s="27">
        <f t="shared" si="7"/>
        <v>3320005.0700000003</v>
      </c>
      <c r="F16" s="27">
        <f t="shared" si="7"/>
        <v>2059190.3121000007</v>
      </c>
      <c r="G16" s="27">
        <f t="shared" si="7"/>
        <v>2111966.0214630011</v>
      </c>
      <c r="H16" s="27">
        <f t="shared" ref="H16:M16" si="8">H6-H10</f>
        <v>2166325.0021068901</v>
      </c>
      <c r="I16" s="27">
        <f t="shared" si="8"/>
        <v>2222314.7521700971</v>
      </c>
      <c r="J16" s="27">
        <f t="shared" si="8"/>
        <v>2279984.1947351992</v>
      </c>
      <c r="K16" s="27">
        <f t="shared" si="8"/>
        <v>2339383.7205772549</v>
      </c>
      <c r="L16" s="27">
        <f t="shared" si="8"/>
        <v>2400565.2321945727</v>
      </c>
      <c r="M16" s="27">
        <f t="shared" si="8"/>
        <v>2463582.1891604066</v>
      </c>
    </row>
    <row r="17" spans="1:13" s="2" customFormat="1" ht="25.5">
      <c r="A17" s="7" t="s">
        <v>39</v>
      </c>
      <c r="B17" s="18" t="s">
        <v>1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</row>
    <row r="18" spans="1:13" s="2" customFormat="1" ht="38.25">
      <c r="A18" s="9"/>
      <c r="B18" s="11" t="s">
        <v>106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</row>
    <row r="19" spans="1:13" s="2" customFormat="1" ht="15" thickBot="1">
      <c r="A19" s="7" t="s">
        <v>34</v>
      </c>
      <c r="B19" s="22" t="s">
        <v>92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</row>
    <row r="20" spans="1:13" s="2" customFormat="1" ht="30" customHeight="1" thickBot="1">
      <c r="A20" s="19" t="s">
        <v>35</v>
      </c>
      <c r="B20" s="21" t="s">
        <v>109</v>
      </c>
      <c r="C20" s="29">
        <f>SUM(C16:C17,C19)</f>
        <v>5660913</v>
      </c>
      <c r="D20" s="29">
        <f t="shared" ref="D20:G20" si="9">SUM(D16:D17,D19)</f>
        <v>3447969</v>
      </c>
      <c r="E20" s="29">
        <f t="shared" si="9"/>
        <v>3320005.0700000003</v>
      </c>
      <c r="F20" s="29">
        <f t="shared" si="9"/>
        <v>2059190.3121000007</v>
      </c>
      <c r="G20" s="29">
        <f t="shared" si="9"/>
        <v>2111966.0214630011</v>
      </c>
      <c r="H20" s="29">
        <f t="shared" ref="H20:M20" si="10">SUM(H16:H17,H19)</f>
        <v>2166325.0021068901</v>
      </c>
      <c r="I20" s="29">
        <f t="shared" si="10"/>
        <v>2222314.7521700971</v>
      </c>
      <c r="J20" s="29">
        <f t="shared" si="10"/>
        <v>2279984.1947351992</v>
      </c>
      <c r="K20" s="29">
        <f t="shared" si="10"/>
        <v>2339383.7205772549</v>
      </c>
      <c r="L20" s="29">
        <f t="shared" si="10"/>
        <v>2400565.2321945727</v>
      </c>
      <c r="M20" s="29">
        <f t="shared" si="10"/>
        <v>2463582.1891604066</v>
      </c>
    </row>
    <row r="21" spans="1:13" s="2" customFormat="1">
      <c r="A21" s="7" t="s">
        <v>40</v>
      </c>
      <c r="B21" s="20" t="s">
        <v>2</v>
      </c>
      <c r="C21" s="27">
        <f>SUM(C22,C29)</f>
        <v>1463500</v>
      </c>
      <c r="D21" s="27">
        <f t="shared" ref="D21:G21" si="11">SUM(D22,D29)</f>
        <v>1199446</v>
      </c>
      <c r="E21" s="27">
        <f t="shared" si="11"/>
        <v>1565763</v>
      </c>
      <c r="F21" s="27">
        <f t="shared" si="11"/>
        <v>614000</v>
      </c>
      <c r="G21" s="27">
        <f t="shared" si="11"/>
        <v>1191000</v>
      </c>
      <c r="H21" s="27">
        <f t="shared" ref="H21:M21" si="12">SUM(H22,H29)</f>
        <v>1451000</v>
      </c>
      <c r="I21" s="27">
        <f t="shared" si="12"/>
        <v>1591000</v>
      </c>
      <c r="J21" s="27">
        <f t="shared" si="12"/>
        <v>1523500</v>
      </c>
      <c r="K21" s="27">
        <f t="shared" si="12"/>
        <v>1456000</v>
      </c>
      <c r="L21" s="27">
        <f t="shared" si="12"/>
        <v>1594000</v>
      </c>
      <c r="M21" s="27">
        <f t="shared" si="12"/>
        <v>727000</v>
      </c>
    </row>
    <row r="22" spans="1:13" s="2" customFormat="1" ht="25.5">
      <c r="A22" s="9" t="s">
        <v>18</v>
      </c>
      <c r="B22" s="11" t="s">
        <v>61</v>
      </c>
      <c r="C22" s="25">
        <f>SUM(C23:C28)</f>
        <v>1069000</v>
      </c>
      <c r="D22" s="25">
        <f t="shared" ref="D22:M22" si="13">SUM(D23:D28)</f>
        <v>701772</v>
      </c>
      <c r="E22" s="25">
        <f t="shared" si="13"/>
        <v>1083863</v>
      </c>
      <c r="F22" s="25">
        <f t="shared" si="13"/>
        <v>190000</v>
      </c>
      <c r="G22" s="25">
        <f t="shared" si="13"/>
        <v>800000</v>
      </c>
      <c r="H22" s="25">
        <f t="shared" si="13"/>
        <v>1100000</v>
      </c>
      <c r="I22" s="25">
        <f t="shared" si="13"/>
        <v>1300000</v>
      </c>
      <c r="J22" s="25">
        <f t="shared" si="13"/>
        <v>1300000</v>
      </c>
      <c r="K22" s="25">
        <f t="shared" si="13"/>
        <v>1300000</v>
      </c>
      <c r="L22" s="25">
        <f t="shared" si="13"/>
        <v>1500000</v>
      </c>
      <c r="M22" s="25">
        <f t="shared" si="13"/>
        <v>700000</v>
      </c>
    </row>
    <row r="23" spans="1:13" s="37" customFormat="1" ht="11.25" hidden="1">
      <c r="A23" s="34"/>
      <c r="B23" s="35" t="s">
        <v>111</v>
      </c>
      <c r="C23" s="36">
        <v>84000</v>
      </c>
      <c r="D23" s="36">
        <v>34772</v>
      </c>
      <c r="E23" s="36"/>
      <c r="F23" s="36"/>
      <c r="G23" s="36"/>
      <c r="H23" s="36"/>
      <c r="I23" s="36"/>
      <c r="J23" s="36"/>
      <c r="K23" s="36"/>
      <c r="L23" s="36"/>
      <c r="M23" s="36"/>
    </row>
    <row r="24" spans="1:13" s="37" customFormat="1" ht="11.25" hidden="1">
      <c r="A24" s="38"/>
      <c r="B24" s="35" t="s">
        <v>112</v>
      </c>
      <c r="C24" s="36">
        <v>185000</v>
      </c>
      <c r="D24" s="36">
        <v>167000</v>
      </c>
      <c r="E24" s="36">
        <v>83863</v>
      </c>
      <c r="F24" s="36"/>
      <c r="G24" s="36"/>
      <c r="H24" s="36"/>
      <c r="I24" s="36"/>
      <c r="J24" s="36"/>
      <c r="K24" s="36"/>
      <c r="L24" s="36"/>
      <c r="M24" s="36"/>
    </row>
    <row r="25" spans="1:13" s="37" customFormat="1" ht="11.25" hidden="1">
      <c r="A25" s="38"/>
      <c r="B25" s="35" t="s">
        <v>113</v>
      </c>
      <c r="C25" s="36">
        <v>400000</v>
      </c>
      <c r="D25" s="36">
        <v>200000</v>
      </c>
      <c r="E25" s="36">
        <v>400000</v>
      </c>
      <c r="F25" s="36">
        <v>0</v>
      </c>
      <c r="G25" s="36"/>
      <c r="H25" s="36"/>
      <c r="I25" s="36"/>
      <c r="J25" s="36"/>
      <c r="K25" s="36"/>
      <c r="L25" s="36"/>
      <c r="M25" s="36"/>
    </row>
    <row r="26" spans="1:13" s="37" customFormat="1" ht="11.25" hidden="1">
      <c r="A26" s="38"/>
      <c r="B26" s="35" t="s">
        <v>114</v>
      </c>
      <c r="C26" s="36">
        <v>400000</v>
      </c>
      <c r="D26" s="36">
        <v>300000</v>
      </c>
      <c r="E26" s="36">
        <v>600000</v>
      </c>
      <c r="F26" s="36">
        <v>100000</v>
      </c>
      <c r="G26" s="36">
        <v>600000</v>
      </c>
      <c r="H26" s="36">
        <v>600000</v>
      </c>
      <c r="I26" s="36">
        <v>600000</v>
      </c>
      <c r="J26" s="36">
        <v>600000</v>
      </c>
      <c r="K26" s="36">
        <v>700000</v>
      </c>
      <c r="L26" s="36">
        <v>800000</v>
      </c>
      <c r="M26" s="36">
        <v>700000</v>
      </c>
    </row>
    <row r="27" spans="1:13" s="37" customFormat="1" ht="11.25" hidden="1">
      <c r="A27" s="38"/>
      <c r="B27" s="35" t="s">
        <v>126</v>
      </c>
      <c r="C27" s="36">
        <v>0</v>
      </c>
      <c r="D27" s="36">
        <v>0</v>
      </c>
      <c r="E27" s="36">
        <v>0</v>
      </c>
      <c r="F27" s="36">
        <v>90000</v>
      </c>
      <c r="G27" s="36">
        <v>100000</v>
      </c>
      <c r="H27" s="36">
        <v>400000</v>
      </c>
      <c r="I27" s="36">
        <v>600000</v>
      </c>
      <c r="J27" s="36">
        <v>600000</v>
      </c>
      <c r="K27" s="36">
        <v>600000</v>
      </c>
      <c r="L27" s="36">
        <v>700000</v>
      </c>
      <c r="M27" s="36"/>
    </row>
    <row r="28" spans="1:13" s="37" customFormat="1" ht="11.25" hidden="1">
      <c r="A28" s="38"/>
      <c r="B28" s="35" t="s">
        <v>127</v>
      </c>
      <c r="C28" s="36"/>
      <c r="D28" s="36"/>
      <c r="E28" s="36"/>
      <c r="F28" s="36"/>
      <c r="G28" s="36">
        <v>100000</v>
      </c>
      <c r="H28" s="36">
        <v>100000</v>
      </c>
      <c r="I28" s="36">
        <v>100000</v>
      </c>
      <c r="J28" s="36">
        <v>100000</v>
      </c>
      <c r="K28" s="36"/>
      <c r="L28" s="36"/>
      <c r="M28" s="36"/>
    </row>
    <row r="29" spans="1:13" s="2" customFormat="1">
      <c r="A29" s="9" t="s">
        <v>19</v>
      </c>
      <c r="B29" s="11" t="s">
        <v>16</v>
      </c>
      <c r="C29" s="25">
        <f>SUM(C30:C36)</f>
        <v>394500</v>
      </c>
      <c r="D29" s="25">
        <f>SUM(D30:D36)</f>
        <v>497674</v>
      </c>
      <c r="E29" s="25">
        <f>SUM(E30:E36)</f>
        <v>481900</v>
      </c>
      <c r="F29" s="25">
        <f>SUM(F30:F36)</f>
        <v>424000</v>
      </c>
      <c r="G29" s="25">
        <f>SUM(G30:G36)</f>
        <v>391000</v>
      </c>
      <c r="H29" s="25">
        <f t="shared" ref="H29:M29" si="14">SUM(H30:H36)</f>
        <v>351000</v>
      </c>
      <c r="I29" s="25">
        <f t="shared" si="14"/>
        <v>291000</v>
      </c>
      <c r="J29" s="25">
        <f t="shared" si="14"/>
        <v>223500</v>
      </c>
      <c r="K29" s="25">
        <f t="shared" si="14"/>
        <v>156000</v>
      </c>
      <c r="L29" s="25">
        <f t="shared" si="14"/>
        <v>94000</v>
      </c>
      <c r="M29" s="25">
        <f t="shared" si="14"/>
        <v>27000</v>
      </c>
    </row>
    <row r="30" spans="1:13" s="37" customFormat="1" ht="11.25" hidden="1">
      <c r="A30" s="34"/>
      <c r="B30" s="35" t="s">
        <v>111</v>
      </c>
      <c r="C30" s="36">
        <v>1500</v>
      </c>
      <c r="D30" s="36">
        <v>174</v>
      </c>
      <c r="E30" s="36"/>
      <c r="F30" s="36"/>
      <c r="G30" s="36"/>
      <c r="H30" s="36"/>
      <c r="I30" s="36"/>
      <c r="J30" s="36"/>
      <c r="K30" s="36"/>
      <c r="L30" s="36"/>
      <c r="M30" s="36"/>
    </row>
    <row r="31" spans="1:13" s="37" customFormat="1" ht="11.25" hidden="1">
      <c r="A31" s="39"/>
      <c r="B31" s="35" t="s">
        <v>112</v>
      </c>
      <c r="C31" s="36">
        <v>15000</v>
      </c>
      <c r="D31" s="36">
        <v>13500</v>
      </c>
      <c r="E31" s="36">
        <v>1900</v>
      </c>
      <c r="F31" s="36"/>
      <c r="G31" s="36"/>
      <c r="H31" s="36"/>
      <c r="I31" s="36"/>
      <c r="J31" s="36"/>
      <c r="K31" s="36"/>
      <c r="L31" s="36"/>
      <c r="M31" s="36"/>
    </row>
    <row r="32" spans="1:13" s="37" customFormat="1" ht="11.25" hidden="1">
      <c r="A32" s="39"/>
      <c r="B32" s="35" t="s">
        <v>113</v>
      </c>
      <c r="C32" s="36">
        <v>63000</v>
      </c>
      <c r="D32" s="36">
        <v>26000</v>
      </c>
      <c r="E32" s="36">
        <v>12000</v>
      </c>
      <c r="F32" s="36"/>
      <c r="G32" s="36"/>
      <c r="H32" s="36"/>
      <c r="I32" s="36"/>
      <c r="J32" s="36"/>
      <c r="K32" s="36"/>
      <c r="L32" s="36"/>
      <c r="M32" s="36"/>
    </row>
    <row r="33" spans="1:13" s="37" customFormat="1" ht="11.25" hidden="1">
      <c r="A33" s="38"/>
      <c r="B33" s="35" t="s">
        <v>114</v>
      </c>
      <c r="C33" s="36">
        <v>300000</v>
      </c>
      <c r="D33" s="36">
        <v>308000</v>
      </c>
      <c r="E33" s="36">
        <v>296000</v>
      </c>
      <c r="F33" s="36">
        <v>259000</v>
      </c>
      <c r="G33" s="36">
        <v>226000</v>
      </c>
      <c r="H33" s="36">
        <v>191000</v>
      </c>
      <c r="I33" s="36">
        <v>156000</v>
      </c>
      <c r="J33" s="36">
        <v>123500</v>
      </c>
      <c r="K33" s="36">
        <v>91000</v>
      </c>
      <c r="L33" s="36">
        <v>59000</v>
      </c>
      <c r="M33" s="36">
        <v>27000</v>
      </c>
    </row>
    <row r="34" spans="1:13" s="37" customFormat="1" ht="11.25" hidden="1">
      <c r="A34" s="38"/>
      <c r="B34" s="35" t="s">
        <v>125</v>
      </c>
      <c r="C34" s="36"/>
      <c r="D34" s="36">
        <v>150000</v>
      </c>
      <c r="E34" s="36">
        <v>150000</v>
      </c>
      <c r="F34" s="36">
        <v>145000</v>
      </c>
      <c r="G34" s="36">
        <v>145000</v>
      </c>
      <c r="H34" s="36">
        <v>145000</v>
      </c>
      <c r="I34" s="36">
        <v>125000</v>
      </c>
      <c r="J34" s="36">
        <v>95000</v>
      </c>
      <c r="K34" s="36">
        <v>65000</v>
      </c>
      <c r="L34" s="36">
        <v>35000</v>
      </c>
      <c r="M34" s="36"/>
    </row>
    <row r="35" spans="1:13" s="37" customFormat="1" ht="11.25" hidden="1">
      <c r="A35" s="38"/>
      <c r="B35" s="35" t="s">
        <v>127</v>
      </c>
      <c r="C35" s="36"/>
      <c r="D35" s="36"/>
      <c r="E35" s="36">
        <v>22000</v>
      </c>
      <c r="F35" s="36">
        <v>20000</v>
      </c>
      <c r="G35" s="36">
        <v>20000</v>
      </c>
      <c r="H35" s="36">
        <v>15000</v>
      </c>
      <c r="I35" s="36">
        <v>10000</v>
      </c>
      <c r="J35" s="36">
        <v>5000</v>
      </c>
      <c r="K35" s="36"/>
      <c r="L35" s="36"/>
      <c r="M35" s="36"/>
    </row>
    <row r="36" spans="1:13" s="37" customFormat="1" ht="11.25" hidden="1">
      <c r="A36" s="38"/>
      <c r="B36" s="35" t="s">
        <v>115</v>
      </c>
      <c r="C36" s="36">
        <v>15000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3" s="2" customFormat="1">
      <c r="A37" s="7" t="s">
        <v>41</v>
      </c>
      <c r="B37" s="18" t="s">
        <v>3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</row>
    <row r="38" spans="1:13" s="2" customFormat="1">
      <c r="A38" s="7" t="s">
        <v>42</v>
      </c>
      <c r="B38" s="18" t="s">
        <v>4</v>
      </c>
      <c r="C38" s="30">
        <f>C20-C21-C37</f>
        <v>4197413</v>
      </c>
      <c r="D38" s="30">
        <f t="shared" ref="D38:G38" si="15">D20-D21-D37</f>
        <v>2248523</v>
      </c>
      <c r="E38" s="30">
        <f t="shared" si="15"/>
        <v>1754242.0700000003</v>
      </c>
      <c r="F38" s="30">
        <f t="shared" si="15"/>
        <v>1445190.3121000007</v>
      </c>
      <c r="G38" s="30">
        <f t="shared" si="15"/>
        <v>920966.02146300115</v>
      </c>
      <c r="H38" s="30">
        <f t="shared" ref="H38:M38" si="16">H20-H21-H37</f>
        <v>715325.00210689008</v>
      </c>
      <c r="I38" s="30">
        <f t="shared" si="16"/>
        <v>631314.75217009708</v>
      </c>
      <c r="J38" s="30">
        <f t="shared" si="16"/>
        <v>756484.19473519921</v>
      </c>
      <c r="K38" s="30">
        <f t="shared" si="16"/>
        <v>883383.72057725489</v>
      </c>
      <c r="L38" s="30">
        <f t="shared" si="16"/>
        <v>806565.23219457269</v>
      </c>
      <c r="M38" s="30">
        <f t="shared" si="16"/>
        <v>1736582.1891604066</v>
      </c>
    </row>
    <row r="39" spans="1:13" s="2" customFormat="1">
      <c r="A39" s="7" t="s">
        <v>21</v>
      </c>
      <c r="B39" s="23" t="s">
        <v>93</v>
      </c>
      <c r="C39" s="31">
        <v>7287413</v>
      </c>
      <c r="D39" s="31">
        <v>2648523</v>
      </c>
      <c r="E39" s="31">
        <v>1754242</v>
      </c>
      <c r="F39" s="31">
        <f>F38</f>
        <v>1445190.3121000007</v>
      </c>
      <c r="G39" s="31">
        <f t="shared" ref="G39:M39" si="17">G38</f>
        <v>920966.02146300115</v>
      </c>
      <c r="H39" s="31">
        <f t="shared" si="17"/>
        <v>715325.00210689008</v>
      </c>
      <c r="I39" s="31">
        <f t="shared" si="17"/>
        <v>631314.75217009708</v>
      </c>
      <c r="J39" s="31">
        <f t="shared" si="17"/>
        <v>756484.19473519921</v>
      </c>
      <c r="K39" s="31">
        <f t="shared" si="17"/>
        <v>883383.72057725489</v>
      </c>
      <c r="L39" s="31">
        <f t="shared" si="17"/>
        <v>806565.23219457269</v>
      </c>
      <c r="M39" s="31">
        <f t="shared" si="17"/>
        <v>1736582.1891604066</v>
      </c>
    </row>
    <row r="40" spans="1:13" s="2" customFormat="1">
      <c r="A40" s="9" t="s">
        <v>22</v>
      </c>
      <c r="B40" s="24" t="s">
        <v>17</v>
      </c>
      <c r="C40" s="31">
        <v>4410388</v>
      </c>
      <c r="D40" s="31">
        <v>2648523</v>
      </c>
      <c r="E40" s="31">
        <v>1754242</v>
      </c>
      <c r="F40" s="31">
        <v>10000</v>
      </c>
      <c r="G40" s="31">
        <v>10000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</row>
    <row r="41" spans="1:13" s="2" customFormat="1">
      <c r="A41" s="7" t="s">
        <v>23</v>
      </c>
      <c r="B41" s="23" t="s">
        <v>94</v>
      </c>
      <c r="C41" s="25">
        <v>3090000</v>
      </c>
      <c r="D41" s="25">
        <v>400000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</row>
    <row r="42" spans="1:13" s="2" customFormat="1">
      <c r="A42" s="7" t="s">
        <v>24</v>
      </c>
      <c r="B42" s="8" t="s">
        <v>95</v>
      </c>
      <c r="C42" s="26">
        <f>C38-C39+C41</f>
        <v>0</v>
      </c>
      <c r="D42" s="26">
        <f t="shared" ref="D42:G42" si="18">D38-D39+D41</f>
        <v>0</v>
      </c>
      <c r="E42" s="26">
        <f t="shared" si="18"/>
        <v>7.0000000298023224E-2</v>
      </c>
      <c r="F42" s="26">
        <f t="shared" si="18"/>
        <v>0</v>
      </c>
      <c r="G42" s="26">
        <f t="shared" si="18"/>
        <v>0</v>
      </c>
      <c r="H42" s="26">
        <f t="shared" ref="H42:M42" si="19">H38-H39+H41</f>
        <v>0</v>
      </c>
      <c r="I42" s="26">
        <f t="shared" si="19"/>
        <v>0</v>
      </c>
      <c r="J42" s="26">
        <f t="shared" si="19"/>
        <v>0</v>
      </c>
      <c r="K42" s="26">
        <f t="shared" si="19"/>
        <v>0</v>
      </c>
      <c r="L42" s="26">
        <f t="shared" si="19"/>
        <v>0</v>
      </c>
      <c r="M42" s="26">
        <f t="shared" si="19"/>
        <v>0</v>
      </c>
    </row>
    <row r="43" spans="1:13" s="2" customFormat="1">
      <c r="A43" s="12" t="s">
        <v>5</v>
      </c>
      <c r="B43" s="13" t="s">
        <v>5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</row>
    <row r="44" spans="1:13" s="2" customFormat="1">
      <c r="A44" s="7" t="s">
        <v>25</v>
      </c>
      <c r="B44" s="8" t="s">
        <v>96</v>
      </c>
      <c r="C44" s="25">
        <f>6485635+C41</f>
        <v>9575635</v>
      </c>
      <c r="D44" s="25">
        <f>C44-D22+D41</f>
        <v>9273863</v>
      </c>
      <c r="E44" s="25">
        <f>D44-E22+E41</f>
        <v>8190000</v>
      </c>
      <c r="F44" s="25">
        <f t="shared" ref="F44:M44" si="20">E44-F22+F41</f>
        <v>8000000</v>
      </c>
      <c r="G44" s="25">
        <f t="shared" si="20"/>
        <v>7200000</v>
      </c>
      <c r="H44" s="25">
        <f t="shared" si="20"/>
        <v>6100000</v>
      </c>
      <c r="I44" s="25">
        <f t="shared" si="20"/>
        <v>4800000</v>
      </c>
      <c r="J44" s="25">
        <f t="shared" si="20"/>
        <v>3500000</v>
      </c>
      <c r="K44" s="25">
        <f t="shared" si="20"/>
        <v>2200000</v>
      </c>
      <c r="L44" s="25">
        <f t="shared" si="20"/>
        <v>700000</v>
      </c>
      <c r="M44" s="25">
        <f t="shared" si="20"/>
        <v>0</v>
      </c>
    </row>
    <row r="45" spans="1:13" s="46" customFormat="1" ht="27">
      <c r="A45" s="49" t="s">
        <v>18</v>
      </c>
      <c r="B45" s="48" t="s">
        <v>128</v>
      </c>
      <c r="C45" s="47">
        <v>2495759</v>
      </c>
      <c r="D45" s="47">
        <v>357000</v>
      </c>
      <c r="E45" s="47">
        <v>357000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s="2" customFormat="1" ht="25.5">
      <c r="A46" s="9" t="s">
        <v>19</v>
      </c>
      <c r="B46" s="11" t="s">
        <v>62</v>
      </c>
      <c r="C46" s="25">
        <v>400000</v>
      </c>
      <c r="D46" s="25">
        <v>0</v>
      </c>
      <c r="E46" s="25">
        <v>357000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</row>
    <row r="47" spans="1:13" s="2" customFormat="1" ht="39.75">
      <c r="A47" s="7" t="s">
        <v>6</v>
      </c>
      <c r="B47" s="8" t="s">
        <v>97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s="2" customFormat="1">
      <c r="A48" s="7" t="s">
        <v>7</v>
      </c>
      <c r="B48" s="8" t="s">
        <v>98</v>
      </c>
      <c r="C48" s="42">
        <f>C21/C6</f>
        <v>8.0286747946735681E-2</v>
      </c>
      <c r="D48" s="42">
        <f t="shared" ref="D48:G48" si="21">D21/D6</f>
        <v>7.3136951219512192E-2</v>
      </c>
      <c r="E48" s="42">
        <f t="shared" si="21"/>
        <v>9.3980005638453407E-2</v>
      </c>
      <c r="F48" s="42">
        <f t="shared" si="21"/>
        <v>3.8860759493670884E-2</v>
      </c>
      <c r="G48" s="42">
        <f t="shared" si="21"/>
        <v>7.3224715647094984E-2</v>
      </c>
      <c r="H48" s="42">
        <f t="shared" ref="H48:M48" si="22">H21/H6</f>
        <v>8.6658166083869101E-2</v>
      </c>
      <c r="I48" s="42">
        <f t="shared" si="22"/>
        <v>9.2300006813724578E-2</v>
      </c>
      <c r="J48" s="42">
        <f t="shared" si="22"/>
        <v>8.5853300252325779E-2</v>
      </c>
      <c r="K48" s="42">
        <f t="shared" si="22"/>
        <v>7.9698947509356119E-2</v>
      </c>
      <c r="L48" s="42">
        <f t="shared" si="22"/>
        <v>8.4752023200515419E-2</v>
      </c>
      <c r="M48" s="42">
        <f t="shared" si="22"/>
        <v>3.7545747749164693E-2</v>
      </c>
    </row>
    <row r="49" spans="1:13" s="2" customFormat="1" ht="18.75" customHeight="1">
      <c r="A49" s="9" t="s">
        <v>18</v>
      </c>
      <c r="B49" s="11" t="s">
        <v>99</v>
      </c>
      <c r="C49" s="42">
        <f>SUM(Arkusz2!C8:E8)/3</f>
        <v>3.3079221695692933E-2</v>
      </c>
      <c r="D49" s="42">
        <f>(SUM(Arkusz2!D8:E8)+((C7+C9-C53)/C6))/3</f>
        <v>-4.3309837687915843E-3</v>
      </c>
      <c r="E49" s="42">
        <f>(Arkusz2!E8+((C7+C9-C53)/C6)+((D7+D9-D53)/D6))/3</f>
        <v>1.8740833782484219E-3</v>
      </c>
      <c r="F49" s="42">
        <f>((C7+C9-C53)/C6+(D7+D9-D53)/D6+(E7+E9-E53)/E6)/3</f>
        <v>4.3463658582633811E-2</v>
      </c>
      <c r="G49" s="42">
        <f t="shared" ref="G49:M49" si="23">((D7+D9-D53)/D6+(E7+E9-E53)/E6+(F7+F9-F53)/F6)/3</f>
        <v>7.4486915130823297E-2</v>
      </c>
      <c r="H49" s="42">
        <f t="shared" si="23"/>
        <v>9.6538847902065392E-2</v>
      </c>
      <c r="I49" s="42">
        <f t="shared" si="23"/>
        <v>0.10590592058154026</v>
      </c>
      <c r="J49" s="42">
        <f t="shared" si="23"/>
        <v>0.10875589123725793</v>
      </c>
      <c r="K49" s="42">
        <f t="shared" si="23"/>
        <v>0.11211604219051256</v>
      </c>
      <c r="L49" s="42">
        <f t="shared" si="23"/>
        <v>0.11581534739941983</v>
      </c>
      <c r="M49" s="42">
        <f t="shared" si="23"/>
        <v>0.11934725379394613</v>
      </c>
    </row>
    <row r="50" spans="1:13" s="2" customFormat="1" ht="30.75" customHeight="1">
      <c r="A50" s="7" t="s">
        <v>26</v>
      </c>
      <c r="B50" s="8" t="s">
        <v>100</v>
      </c>
      <c r="C50" s="25" t="str">
        <f>IF(C48&lt;=C49,"Zgodny z art. 243","Niezgodny z art. 243")</f>
        <v>Niezgodny z art. 243</v>
      </c>
      <c r="D50" s="25" t="str">
        <f t="shared" ref="D50:M50" si="24">IF(D48&lt;=D49,"Zgodny z art. 243","Niezgodny z art. 243")</f>
        <v>Niezgodny z art. 243</v>
      </c>
      <c r="E50" s="25" t="str">
        <f t="shared" si="24"/>
        <v>Niezgodny z art. 243</v>
      </c>
      <c r="F50" s="25" t="str">
        <f t="shared" si="24"/>
        <v>Zgodny z art. 243</v>
      </c>
      <c r="G50" s="25" t="str">
        <f t="shared" si="24"/>
        <v>Zgodny z art. 243</v>
      </c>
      <c r="H50" s="25" t="str">
        <f t="shared" si="24"/>
        <v>Zgodny z art. 243</v>
      </c>
      <c r="I50" s="25" t="str">
        <f t="shared" si="24"/>
        <v>Zgodny z art. 243</v>
      </c>
      <c r="J50" s="25" t="str">
        <f t="shared" si="24"/>
        <v>Zgodny z art. 243</v>
      </c>
      <c r="K50" s="25" t="str">
        <f t="shared" si="24"/>
        <v>Zgodny z art. 243</v>
      </c>
      <c r="L50" s="25" t="str">
        <f t="shared" si="24"/>
        <v>Zgodny z art. 243</v>
      </c>
      <c r="M50" s="25" t="str">
        <f t="shared" si="24"/>
        <v>Zgodny z art. 243</v>
      </c>
    </row>
    <row r="51" spans="1:13" s="2" customFormat="1" ht="27">
      <c r="A51" s="7" t="s">
        <v>27</v>
      </c>
      <c r="B51" s="8" t="s">
        <v>101</v>
      </c>
      <c r="C51" s="41">
        <f>(C21-C46)/C6</f>
        <v>5.8342983560883771E-2</v>
      </c>
      <c r="D51" s="41">
        <f t="shared" ref="D51:E51" si="25">(D21-D46)/D6</f>
        <v>7.3136951219512192E-2</v>
      </c>
      <c r="E51" s="41">
        <f t="shared" si="25"/>
        <v>7.255220206094655E-2</v>
      </c>
      <c r="F51" s="33" t="s">
        <v>110</v>
      </c>
      <c r="G51" s="33" t="s">
        <v>110</v>
      </c>
      <c r="H51" s="33" t="s">
        <v>110</v>
      </c>
      <c r="I51" s="33" t="s">
        <v>110</v>
      </c>
      <c r="J51" s="33" t="s">
        <v>110</v>
      </c>
      <c r="K51" s="33" t="s">
        <v>110</v>
      </c>
      <c r="L51" s="33" t="s">
        <v>110</v>
      </c>
      <c r="M51" s="33" t="s">
        <v>110</v>
      </c>
    </row>
    <row r="52" spans="1:13" s="2" customFormat="1" ht="27">
      <c r="A52" s="7" t="s">
        <v>28</v>
      </c>
      <c r="B52" s="8" t="s">
        <v>102</v>
      </c>
      <c r="C52" s="41">
        <f>(C44-C45)/C6</f>
        <v>0.38839782706261922</v>
      </c>
      <c r="D52" s="41">
        <f t="shared" ref="D52:E52" si="26">(D44-D45)/D6</f>
        <v>0.54371115853658536</v>
      </c>
      <c r="E52" s="41">
        <f t="shared" si="26"/>
        <v>0.47015121967117984</v>
      </c>
      <c r="F52" s="33" t="s">
        <v>110</v>
      </c>
      <c r="G52" s="33" t="s">
        <v>110</v>
      </c>
      <c r="H52" s="33" t="s">
        <v>110</v>
      </c>
      <c r="I52" s="33" t="s">
        <v>110</v>
      </c>
      <c r="J52" s="33" t="s">
        <v>110</v>
      </c>
      <c r="K52" s="33" t="s">
        <v>110</v>
      </c>
      <c r="L52" s="33" t="s">
        <v>110</v>
      </c>
      <c r="M52" s="33" t="s">
        <v>110</v>
      </c>
    </row>
    <row r="53" spans="1:13" s="2" customFormat="1">
      <c r="A53" s="7" t="s">
        <v>29</v>
      </c>
      <c r="B53" s="8" t="s">
        <v>8</v>
      </c>
      <c r="C53" s="26">
        <f>C10+C29</f>
        <v>12962000</v>
      </c>
      <c r="D53" s="26">
        <f t="shared" ref="D53:G53" si="27">D10+D29</f>
        <v>13449705</v>
      </c>
      <c r="E53" s="26">
        <f t="shared" si="27"/>
        <v>13822491.93</v>
      </c>
      <c r="F53" s="26">
        <f t="shared" si="27"/>
        <v>14164809.687899999</v>
      </c>
      <c r="G53" s="26">
        <f t="shared" si="27"/>
        <v>14544033.978536999</v>
      </c>
      <c r="H53" s="26">
        <f t="shared" ref="H53:M53" si="28">H10+H29</f>
        <v>14928624.99789311</v>
      </c>
      <c r="I53" s="26">
        <f t="shared" si="28"/>
        <v>15305953.747829903</v>
      </c>
      <c r="J53" s="26">
        <f t="shared" si="28"/>
        <v>15688902.3602648</v>
      </c>
      <c r="K53" s="26">
        <f t="shared" si="28"/>
        <v>16085364.431072745</v>
      </c>
      <c r="L53" s="26">
        <f t="shared" si="28"/>
        <v>16501245.364004929</v>
      </c>
      <c r="M53" s="26">
        <f t="shared" si="28"/>
        <v>16926462.724925078</v>
      </c>
    </row>
    <row r="54" spans="1:13" s="2" customFormat="1">
      <c r="A54" s="7" t="s">
        <v>30</v>
      </c>
      <c r="B54" s="8" t="s">
        <v>9</v>
      </c>
      <c r="C54" s="26">
        <f>C39+C53</f>
        <v>20249413</v>
      </c>
      <c r="D54" s="26">
        <f t="shared" ref="D54:G54" si="29">D39+D53</f>
        <v>16098228</v>
      </c>
      <c r="E54" s="26">
        <f t="shared" si="29"/>
        <v>15576733.93</v>
      </c>
      <c r="F54" s="26">
        <f t="shared" si="29"/>
        <v>15610000</v>
      </c>
      <c r="G54" s="26">
        <f t="shared" si="29"/>
        <v>15465000</v>
      </c>
      <c r="H54" s="26">
        <f t="shared" ref="H54:M54" si="30">H39+H53</f>
        <v>15643950</v>
      </c>
      <c r="I54" s="26">
        <f t="shared" si="30"/>
        <v>15937268.5</v>
      </c>
      <c r="J54" s="26">
        <f t="shared" si="30"/>
        <v>16445386.555</v>
      </c>
      <c r="K54" s="26">
        <f t="shared" si="30"/>
        <v>16968748.15165</v>
      </c>
      <c r="L54" s="26">
        <f t="shared" si="30"/>
        <v>17307810.596199501</v>
      </c>
      <c r="M54" s="26">
        <f t="shared" si="30"/>
        <v>18663044.914085485</v>
      </c>
    </row>
    <row r="55" spans="1:13" s="2" customFormat="1">
      <c r="A55" s="7" t="s">
        <v>31</v>
      </c>
      <c r="B55" s="8" t="s">
        <v>10</v>
      </c>
      <c r="C55" s="26">
        <f>C6-C54</f>
        <v>-2021000</v>
      </c>
      <c r="D55" s="26">
        <f t="shared" ref="D55:G55" si="31">D6-D54</f>
        <v>301772</v>
      </c>
      <c r="E55" s="26">
        <f t="shared" si="31"/>
        <v>1083863.0700000003</v>
      </c>
      <c r="F55" s="26">
        <f t="shared" si="31"/>
        <v>190000</v>
      </c>
      <c r="G55" s="26">
        <f t="shared" si="31"/>
        <v>800000</v>
      </c>
      <c r="H55" s="26">
        <f t="shared" ref="H55:M55" si="32">H6-H54</f>
        <v>1100000</v>
      </c>
      <c r="I55" s="26">
        <f t="shared" si="32"/>
        <v>1300000</v>
      </c>
      <c r="J55" s="26">
        <f t="shared" si="32"/>
        <v>1300000</v>
      </c>
      <c r="K55" s="26">
        <f t="shared" si="32"/>
        <v>1300000</v>
      </c>
      <c r="L55" s="26">
        <f t="shared" si="32"/>
        <v>1500000</v>
      </c>
      <c r="M55" s="26">
        <f t="shared" si="32"/>
        <v>700000</v>
      </c>
    </row>
    <row r="56" spans="1:13" s="2" customFormat="1">
      <c r="A56" s="7" t="s">
        <v>32</v>
      </c>
      <c r="B56" s="8" t="s">
        <v>11</v>
      </c>
      <c r="C56" s="26">
        <v>3090000</v>
      </c>
      <c r="D56" s="26">
        <v>400000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</row>
    <row r="57" spans="1:13" s="2" customFormat="1">
      <c r="A57" s="7" t="s">
        <v>33</v>
      </c>
      <c r="B57" s="8" t="s">
        <v>12</v>
      </c>
      <c r="C57" s="26">
        <f>C22+C37</f>
        <v>1069000</v>
      </c>
      <c r="D57" s="26">
        <f t="shared" ref="D57:G57" si="33">D22+D37</f>
        <v>701772</v>
      </c>
      <c r="E57" s="26">
        <f t="shared" si="33"/>
        <v>1083863</v>
      </c>
      <c r="F57" s="26">
        <f t="shared" si="33"/>
        <v>190000</v>
      </c>
      <c r="G57" s="26">
        <f t="shared" si="33"/>
        <v>800000</v>
      </c>
      <c r="H57" s="26">
        <f t="shared" ref="H57:M57" si="34">H22+H37</f>
        <v>1100000</v>
      </c>
      <c r="I57" s="26">
        <f t="shared" si="34"/>
        <v>1300000</v>
      </c>
      <c r="J57" s="26">
        <f t="shared" si="34"/>
        <v>1300000</v>
      </c>
      <c r="K57" s="26">
        <f t="shared" si="34"/>
        <v>1300000</v>
      </c>
      <c r="L57" s="26">
        <f t="shared" si="34"/>
        <v>1500000</v>
      </c>
      <c r="M57" s="26">
        <f t="shared" si="34"/>
        <v>700000</v>
      </c>
    </row>
    <row r="58" spans="1:13" hidden="1">
      <c r="C58" s="44">
        <f>C55+C56-C57</f>
        <v>0</v>
      </c>
      <c r="D58" s="44">
        <f t="shared" ref="D58:M58" si="35">D55+D56-D57</f>
        <v>0</v>
      </c>
      <c r="E58" s="44">
        <f t="shared" si="35"/>
        <v>7.0000000298023224E-2</v>
      </c>
      <c r="F58" s="44">
        <f t="shared" si="35"/>
        <v>0</v>
      </c>
      <c r="G58" s="44">
        <f t="shared" si="35"/>
        <v>0</v>
      </c>
      <c r="H58" s="44">
        <f t="shared" si="35"/>
        <v>0</v>
      </c>
      <c r="I58" s="44">
        <f t="shared" si="35"/>
        <v>0</v>
      </c>
      <c r="J58" s="44">
        <f t="shared" si="35"/>
        <v>0</v>
      </c>
      <c r="K58" s="44">
        <f t="shared" si="35"/>
        <v>0</v>
      </c>
      <c r="L58" s="44">
        <f t="shared" si="35"/>
        <v>0</v>
      </c>
      <c r="M58" s="44">
        <f t="shared" si="35"/>
        <v>0</v>
      </c>
    </row>
    <row r="59" spans="1:13" s="2" customFormat="1" ht="42.75" customHeight="1">
      <c r="A59" s="14" t="s">
        <v>43</v>
      </c>
      <c r="B59" s="51" t="s">
        <v>79</v>
      </c>
      <c r="C59" s="51"/>
      <c r="D59" s="51"/>
      <c r="E59" s="51"/>
      <c r="F59" s="51"/>
      <c r="G59" s="51"/>
      <c r="H59" s="51"/>
    </row>
    <row r="60" spans="1:13" s="2" customFormat="1" ht="16.5">
      <c r="A60" s="14" t="s">
        <v>44</v>
      </c>
      <c r="B60" s="51" t="s">
        <v>63</v>
      </c>
      <c r="C60" s="51"/>
      <c r="D60" s="51"/>
      <c r="E60" s="51"/>
      <c r="F60" s="51"/>
      <c r="G60" s="51"/>
      <c r="H60" s="51"/>
    </row>
    <row r="61" spans="1:13" s="2" customFormat="1" ht="15.75" customHeight="1">
      <c r="A61" s="14" t="s">
        <v>45</v>
      </c>
      <c r="B61" s="51" t="s">
        <v>67</v>
      </c>
      <c r="C61" s="51"/>
      <c r="D61" s="51"/>
      <c r="E61" s="51"/>
      <c r="F61" s="51"/>
      <c r="G61" s="51"/>
      <c r="H61" s="51"/>
    </row>
    <row r="62" spans="1:13" s="2" customFormat="1" ht="16.5">
      <c r="A62" s="14" t="s">
        <v>46</v>
      </c>
      <c r="B62" s="51" t="s">
        <v>68</v>
      </c>
      <c r="C62" s="51"/>
      <c r="D62" s="51"/>
      <c r="E62" s="51"/>
      <c r="F62" s="51"/>
      <c r="G62" s="51"/>
      <c r="H62" s="51"/>
    </row>
    <row r="63" spans="1:13" s="2" customFormat="1" ht="16.5">
      <c r="A63" s="14" t="s">
        <v>47</v>
      </c>
      <c r="B63" s="51" t="s">
        <v>69</v>
      </c>
      <c r="C63" s="51"/>
      <c r="D63" s="51"/>
      <c r="E63" s="51"/>
      <c r="F63" s="51"/>
      <c r="G63" s="51"/>
      <c r="H63" s="51"/>
    </row>
    <row r="64" spans="1:13" s="2" customFormat="1" ht="16.5">
      <c r="A64" s="14" t="s">
        <v>48</v>
      </c>
      <c r="B64" s="51" t="s">
        <v>64</v>
      </c>
      <c r="C64" s="51"/>
      <c r="D64" s="51"/>
      <c r="E64" s="51"/>
      <c r="F64" s="51"/>
      <c r="G64" s="51"/>
      <c r="H64" s="51"/>
    </row>
    <row r="65" spans="1:8" s="2" customFormat="1" ht="16.5">
      <c r="A65" s="14" t="s">
        <v>49</v>
      </c>
      <c r="B65" s="51" t="s">
        <v>70</v>
      </c>
      <c r="C65" s="51"/>
      <c r="D65" s="51"/>
      <c r="E65" s="51"/>
      <c r="F65" s="51"/>
      <c r="G65" s="51"/>
      <c r="H65" s="51"/>
    </row>
    <row r="66" spans="1:8" s="2" customFormat="1" ht="16.5">
      <c r="A66" s="14" t="s">
        <v>50</v>
      </c>
      <c r="B66" s="51" t="s">
        <v>71</v>
      </c>
      <c r="C66" s="51"/>
      <c r="D66" s="51"/>
      <c r="E66" s="51"/>
      <c r="F66" s="51"/>
      <c r="G66" s="51"/>
      <c r="H66" s="51"/>
    </row>
    <row r="67" spans="1:8" s="2" customFormat="1" ht="16.5">
      <c r="A67" s="14" t="s">
        <v>51</v>
      </c>
      <c r="B67" s="51" t="s">
        <v>72</v>
      </c>
      <c r="C67" s="51"/>
      <c r="D67" s="51"/>
      <c r="E67" s="51"/>
      <c r="F67" s="51"/>
      <c r="G67" s="51"/>
      <c r="H67" s="51"/>
    </row>
    <row r="68" spans="1:8" s="2" customFormat="1" ht="31.5" customHeight="1">
      <c r="A68" s="14" t="s">
        <v>52</v>
      </c>
      <c r="B68" s="51" t="s">
        <v>73</v>
      </c>
      <c r="C68" s="51"/>
      <c r="D68" s="51"/>
      <c r="E68" s="51"/>
      <c r="F68" s="51"/>
      <c r="G68" s="51"/>
      <c r="H68" s="51"/>
    </row>
    <row r="69" spans="1:8" s="2" customFormat="1" ht="43.5" customHeight="1">
      <c r="A69" s="14" t="s">
        <v>53</v>
      </c>
      <c r="B69" s="51" t="s">
        <v>80</v>
      </c>
      <c r="C69" s="51"/>
      <c r="D69" s="51"/>
      <c r="E69" s="51"/>
      <c r="F69" s="51"/>
      <c r="G69" s="51"/>
      <c r="H69" s="51"/>
    </row>
    <row r="70" spans="1:8" s="2" customFormat="1" ht="16.5">
      <c r="A70" s="14" t="s">
        <v>54</v>
      </c>
      <c r="B70" s="51" t="s">
        <v>74</v>
      </c>
      <c r="C70" s="51"/>
      <c r="D70" s="51"/>
      <c r="E70" s="51"/>
      <c r="F70" s="51"/>
      <c r="G70" s="51"/>
      <c r="H70" s="51"/>
    </row>
    <row r="71" spans="1:8" s="2" customFormat="1" ht="16.5">
      <c r="A71" s="14" t="s">
        <v>55</v>
      </c>
      <c r="B71" s="51" t="s">
        <v>65</v>
      </c>
      <c r="C71" s="51"/>
      <c r="D71" s="51"/>
      <c r="E71" s="51"/>
      <c r="F71" s="51"/>
      <c r="G71" s="51"/>
      <c r="H71" s="51"/>
    </row>
    <row r="72" spans="1:8" s="2" customFormat="1" ht="16.5">
      <c r="A72" s="14" t="s">
        <v>56</v>
      </c>
      <c r="B72" s="51" t="s">
        <v>75</v>
      </c>
      <c r="C72" s="51"/>
      <c r="D72" s="51"/>
      <c r="E72" s="51"/>
      <c r="F72" s="51"/>
      <c r="G72" s="51"/>
      <c r="H72" s="51"/>
    </row>
    <row r="73" spans="1:8" s="2" customFormat="1" ht="16.5">
      <c r="A73" s="14" t="s">
        <v>57</v>
      </c>
      <c r="B73" s="51" t="s">
        <v>76</v>
      </c>
      <c r="C73" s="51"/>
      <c r="D73" s="51"/>
      <c r="E73" s="51"/>
      <c r="F73" s="51"/>
      <c r="G73" s="51"/>
      <c r="H73" s="51"/>
    </row>
    <row r="74" spans="1:8" s="2" customFormat="1" ht="28.5" customHeight="1">
      <c r="A74" s="14" t="s">
        <v>58</v>
      </c>
      <c r="B74" s="51" t="s">
        <v>77</v>
      </c>
      <c r="C74" s="51"/>
      <c r="D74" s="51"/>
      <c r="E74" s="51"/>
      <c r="F74" s="51"/>
      <c r="G74" s="51"/>
      <c r="H74" s="51"/>
    </row>
    <row r="75" spans="1:8" s="2" customFormat="1" ht="16.5">
      <c r="A75" s="14" t="s">
        <v>59</v>
      </c>
      <c r="B75" s="51" t="s">
        <v>66</v>
      </c>
      <c r="C75" s="51"/>
      <c r="D75" s="51"/>
      <c r="E75" s="51"/>
      <c r="F75" s="51"/>
      <c r="G75" s="51"/>
      <c r="H75" s="51"/>
    </row>
    <row r="76" spans="1:8" s="2" customFormat="1" ht="16.5">
      <c r="A76" s="14" t="s">
        <v>60</v>
      </c>
      <c r="B76" s="51" t="s">
        <v>78</v>
      </c>
      <c r="C76" s="51"/>
      <c r="D76" s="51"/>
      <c r="E76" s="51"/>
      <c r="F76" s="51"/>
      <c r="G76" s="51"/>
      <c r="H76" s="51"/>
    </row>
    <row r="77" spans="1:8" s="2" customFormat="1">
      <c r="A77" s="15"/>
      <c r="B77" s="16"/>
      <c r="C77" s="17"/>
      <c r="D77" s="17"/>
      <c r="E77" s="17"/>
      <c r="F77" s="17"/>
      <c r="G77" s="17"/>
      <c r="H77" s="17"/>
    </row>
    <row r="78" spans="1:8" s="2" customFormat="1" ht="26.25" customHeight="1">
      <c r="A78" s="51" t="s">
        <v>107</v>
      </c>
      <c r="B78" s="51"/>
      <c r="C78" s="51"/>
      <c r="D78" s="51"/>
      <c r="E78" s="51"/>
      <c r="F78" s="51"/>
      <c r="G78" s="51"/>
      <c r="H78" s="51"/>
    </row>
    <row r="79" spans="1:8">
      <c r="A79" s="54" t="s">
        <v>108</v>
      </c>
      <c r="B79" s="54"/>
      <c r="C79" s="54"/>
      <c r="D79" s="54"/>
      <c r="E79" s="54"/>
      <c r="F79" s="54"/>
      <c r="G79" s="54"/>
      <c r="H79" s="54"/>
    </row>
    <row r="80" spans="1:8">
      <c r="B80" s="3"/>
    </row>
    <row r="81" spans="2:2">
      <c r="B81" s="3"/>
    </row>
  </sheetData>
  <mergeCells count="22">
    <mergeCell ref="B76:H76"/>
    <mergeCell ref="A79:H79"/>
    <mergeCell ref="A78:H78"/>
    <mergeCell ref="B71:H71"/>
    <mergeCell ref="B72:H72"/>
    <mergeCell ref="B73:H73"/>
    <mergeCell ref="B74:H74"/>
    <mergeCell ref="B75:H75"/>
    <mergeCell ref="B66:H66"/>
    <mergeCell ref="B67:H67"/>
    <mergeCell ref="B68:H68"/>
    <mergeCell ref="B69:H69"/>
    <mergeCell ref="B70:H70"/>
    <mergeCell ref="B61:H61"/>
    <mergeCell ref="B62:H62"/>
    <mergeCell ref="B63:H63"/>
    <mergeCell ref="B64:H64"/>
    <mergeCell ref="B65:H65"/>
    <mergeCell ref="K1:L1"/>
    <mergeCell ref="B59:H59"/>
    <mergeCell ref="B60:H60"/>
    <mergeCell ref="A2:M2"/>
  </mergeCells>
  <pageMargins left="0.27559055118110237" right="0.27559055118110237" top="0.39370078740157483" bottom="0.35433070866141736" header="0.31496062992125984" footer="0.31496062992125984"/>
  <pageSetup paperSize="9" scale="6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0"/>
  <sheetViews>
    <sheetView workbookViewId="0">
      <selection activeCell="D20" sqref="D20"/>
    </sheetView>
  </sheetViews>
  <sheetFormatPr defaultRowHeight="14.25"/>
  <cols>
    <col min="2" max="2" width="50.75" customWidth="1"/>
    <col min="3" max="3" width="14.25" customWidth="1"/>
    <col min="4" max="4" width="12.875" customWidth="1"/>
    <col min="5" max="5" width="14.25" customWidth="1"/>
  </cols>
  <sheetData>
    <row r="2" spans="2:5">
      <c r="C2">
        <v>2008</v>
      </c>
      <c r="D2">
        <v>2009</v>
      </c>
      <c r="E2" t="s">
        <v>117</v>
      </c>
    </row>
    <row r="3" spans="2:5">
      <c r="B3" s="8" t="s">
        <v>89</v>
      </c>
      <c r="C3">
        <v>14029985</v>
      </c>
      <c r="D3">
        <v>14230011.77</v>
      </c>
      <c r="E3">
        <v>19586791.199999999</v>
      </c>
    </row>
    <row r="4" spans="2:5">
      <c r="B4" s="10" t="s">
        <v>13</v>
      </c>
      <c r="C4">
        <v>13140171</v>
      </c>
      <c r="D4">
        <v>13426176</v>
      </c>
      <c r="E4" s="40">
        <v>13110955.199999999</v>
      </c>
    </row>
    <row r="5" spans="2:5">
      <c r="B5" s="11" t="s">
        <v>14</v>
      </c>
      <c r="D5">
        <v>803836</v>
      </c>
    </row>
    <row r="6" spans="2:5">
      <c r="B6" s="11" t="s">
        <v>87</v>
      </c>
      <c r="C6">
        <v>243478.44</v>
      </c>
      <c r="D6">
        <v>134056.76</v>
      </c>
      <c r="E6">
        <v>123500</v>
      </c>
    </row>
    <row r="7" spans="2:5">
      <c r="B7" s="8" t="s">
        <v>116</v>
      </c>
      <c r="C7">
        <v>11662817</v>
      </c>
      <c r="D7">
        <v>13260876.960000001</v>
      </c>
      <c r="E7">
        <v>14105150.199999999</v>
      </c>
    </row>
    <row r="8" spans="2:5">
      <c r="C8">
        <f>(C4-C7+C6)/C3</f>
        <v>0.12265390447673322</v>
      </c>
      <c r="D8">
        <f t="shared" ref="D8" si="0">(D4-D7+D6)/D3</f>
        <v>2.1036932705221445E-2</v>
      </c>
      <c r="E8">
        <f>(E4-E7+E6)/E3</f>
        <v>-4.4453172094875856E-2</v>
      </c>
    </row>
    <row r="10" spans="2:5">
      <c r="C10">
        <f>SUM(C8:E8)/3</f>
        <v>3.3079221695692933E-2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6:K7"/>
  <sheetViews>
    <sheetView workbookViewId="0">
      <selection activeCell="G7" sqref="G7:K7"/>
    </sheetView>
  </sheetViews>
  <sheetFormatPr defaultRowHeight="14.25"/>
  <sheetData>
    <row r="6" spans="5:11">
      <c r="E6" s="36">
        <v>90000</v>
      </c>
      <c r="F6" s="36">
        <v>100000</v>
      </c>
      <c r="G6" s="36">
        <v>400000</v>
      </c>
      <c r="H6" s="36">
        <v>600000</v>
      </c>
      <c r="I6" s="36">
        <v>600000</v>
      </c>
      <c r="J6" s="36">
        <v>600000</v>
      </c>
      <c r="K6" s="36">
        <v>700000</v>
      </c>
    </row>
    <row r="7" spans="5:11">
      <c r="E7">
        <f>SUM(E6:K6)*0.05</f>
        <v>154500</v>
      </c>
      <c r="F7">
        <f t="shared" ref="F7:K7" si="0">SUM(F6:L6)*0.05</f>
        <v>150000</v>
      </c>
      <c r="G7">
        <f t="shared" si="0"/>
        <v>145000</v>
      </c>
      <c r="H7">
        <f t="shared" si="0"/>
        <v>125000</v>
      </c>
      <c r="I7">
        <f t="shared" si="0"/>
        <v>95000</v>
      </c>
      <c r="J7">
        <f t="shared" si="0"/>
        <v>65000</v>
      </c>
      <c r="K7">
        <f t="shared" si="0"/>
        <v>35000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M_Bachta</cp:lastModifiedBy>
  <cp:lastPrinted>2011-02-10T07:52:30Z</cp:lastPrinted>
  <dcterms:created xsi:type="dcterms:W3CDTF">2010-10-07T05:45:12Z</dcterms:created>
  <dcterms:modified xsi:type="dcterms:W3CDTF">2011-02-11T07:15:46Z</dcterms:modified>
</cp:coreProperties>
</file>