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0380" windowHeight="8070" tabRatio="662" activeTab="0"/>
  </bookViews>
  <sheets>
    <sheet name="Inf.finansowa" sheetId="1" r:id="rId1"/>
  </sheets>
  <definedNames>
    <definedName name="_xlnm.Print_Area" localSheetId="0">'Inf.finansowa'!$A$1:$Q$85</definedName>
    <definedName name="_xlnm.Print_Titles" localSheetId="0">'Inf.finansowa'!$5:$5</definedName>
  </definedNames>
  <calcPr fullCalcOnLoad="1"/>
</workbook>
</file>

<file path=xl/sharedStrings.xml><?xml version="1.0" encoding="utf-8"?>
<sst xmlns="http://schemas.openxmlformats.org/spreadsheetml/2006/main" count="97" uniqueCount="97">
  <si>
    <t>Lp.</t>
  </si>
  <si>
    <t>Wyszczególnienie</t>
  </si>
  <si>
    <t>Wykonanie</t>
  </si>
  <si>
    <t>Przewidywane wykonanie</t>
  </si>
  <si>
    <t xml:space="preserve">  w zł  </t>
  </si>
  <si>
    <t>2007 r.</t>
  </si>
  <si>
    <t xml:space="preserve"> 1) wyemitowane papiery wartościowe, </t>
  </si>
  <si>
    <t xml:space="preserve"> 2) zaciągnięte kredyty,</t>
  </si>
  <si>
    <t xml:space="preserve"> 3) zaciągnięte pożyczki,</t>
  </si>
  <si>
    <t xml:space="preserve">      a) kredyty,</t>
  </si>
  <si>
    <t xml:space="preserve">      b) pożyczki,</t>
  </si>
  <si>
    <t xml:space="preserve">     a) spłaty rat kredytów z odsetkami,</t>
  </si>
  <si>
    <t xml:space="preserve">     b) spłaty rat pożyczek z odsetkami,</t>
  </si>
  <si>
    <t>2008 r.</t>
  </si>
  <si>
    <r>
      <t xml:space="preserve">B. WYDATKI  </t>
    </r>
    <r>
      <rPr>
        <sz val="10"/>
        <rFont val="Arial CE"/>
        <family val="2"/>
      </rPr>
      <t>(B1+B2)</t>
    </r>
  </si>
  <si>
    <t>B2. Wydatki majątkowe</t>
  </si>
  <si>
    <t>C. NADWYŻKA / DEFICYT (A-B)</t>
  </si>
  <si>
    <t>D. FINANSOWANIE (D1-D2)</t>
  </si>
  <si>
    <t>D16. prywatyzacja majątku jst</t>
  </si>
  <si>
    <t>D17. inne źródła
w tym:</t>
  </si>
  <si>
    <t>D25. wykup obligacji samorządowych
w tym:</t>
  </si>
  <si>
    <t>D26. inne cele</t>
  </si>
  <si>
    <t xml:space="preserve">   a) wynikające z ustaw i orzeczeń sądów
        lub ostatecznych decyzji administracyjnych,</t>
  </si>
  <si>
    <t xml:space="preserve">       D171. środki na pokrycie deficytu</t>
  </si>
  <si>
    <t xml:space="preserve">      c) emitowane papiery wartościowe.</t>
  </si>
  <si>
    <t>A2. Dochody majątkowe</t>
  </si>
  <si>
    <t>D15. obligacje jednostek samorządowych 
        oraz związków komunalnych
w tym:</t>
  </si>
  <si>
    <r>
      <t xml:space="preserve"> </t>
    </r>
    <r>
      <rPr>
        <b/>
        <sz val="12"/>
        <rFont val="Arial CE"/>
        <family val="0"/>
      </rPr>
      <t>3)</t>
    </r>
    <r>
      <rPr>
        <b/>
        <sz val="12"/>
        <rFont val="Arial CE"/>
        <family val="2"/>
      </rPr>
      <t xml:space="preserve"> potenc. spłaty udzielonych poręczeń
     z należnymi odsetkami,</t>
    </r>
  </si>
  <si>
    <t>D11. kredyty
 w tym:</t>
  </si>
  <si>
    <r>
      <t>D13.</t>
    </r>
    <r>
      <rPr>
        <b/>
        <sz val="12"/>
        <rFont val="Arial CE"/>
        <family val="2"/>
      </rPr>
      <t xml:space="preserve"> spłata pożyczek udzielonych</t>
    </r>
  </si>
  <si>
    <r>
      <t>D14.</t>
    </r>
    <r>
      <rPr>
        <b/>
        <sz val="12"/>
        <rFont val="Arial CE"/>
        <family val="2"/>
      </rPr>
      <t xml:space="preserve"> nadwyżka z lat ubiegłych
w tym:</t>
    </r>
  </si>
  <si>
    <r>
      <t>D24.</t>
    </r>
    <r>
      <rPr>
        <b/>
        <sz val="12"/>
        <rFont val="Arial CE"/>
        <family val="2"/>
      </rPr>
      <t xml:space="preserve"> lokaty w bankach</t>
    </r>
  </si>
  <si>
    <t>D21. spłaty kredytów
 w tym:</t>
  </si>
  <si>
    <t>D12. pożyczki
w tym:</t>
  </si>
  <si>
    <t>D22. spłaty pożyczek
w tym:</t>
  </si>
  <si>
    <r>
      <t>D23</t>
    </r>
    <r>
      <rPr>
        <b/>
        <sz val="12"/>
        <rFont val="Arial CE"/>
        <family val="2"/>
      </rPr>
      <t xml:space="preserve">. pożyczki </t>
    </r>
    <r>
      <rPr>
        <b/>
        <sz val="12"/>
        <rFont val="Arial CE"/>
        <family val="0"/>
      </rPr>
      <t>(udzielone)</t>
    </r>
  </si>
  <si>
    <r>
      <t xml:space="preserve"> 5) wymagalne zobowiązania
</t>
    </r>
    <r>
      <rPr>
        <b/>
        <sz val="12"/>
        <rFont val="Arial CE"/>
        <family val="0"/>
      </rPr>
      <t>w tym:</t>
    </r>
  </si>
  <si>
    <t xml:space="preserve">   b) uznane za bezsporne przez właściwą jednostkę
       sektora finansów publicznych, będącą dłużnikiem</t>
  </si>
  <si>
    <r>
      <t xml:space="preserve"> 4) przyjęte depozyty</t>
    </r>
    <r>
      <rPr>
        <b/>
        <vertAlign val="superscript"/>
        <sz val="12"/>
        <rFont val="Arial CE"/>
        <family val="0"/>
      </rPr>
      <t>2)</t>
    </r>
    <r>
      <rPr>
        <b/>
        <sz val="12"/>
        <rFont val="Arial CE"/>
        <family val="2"/>
      </rPr>
      <t>,</t>
    </r>
  </si>
  <si>
    <t xml:space="preserve">     d) potencjalne spłaty poręczeń i gwarancji udzielonych 
        samorządowym osobom prawnym realizującym zadania jst</t>
  </si>
  <si>
    <r>
      <t xml:space="preserve">F. DŁUG NA KONIEC ROKU
          </t>
    </r>
    <r>
      <rPr>
        <b/>
        <sz val="11"/>
        <rFont val="Arial CE"/>
        <family val="0"/>
      </rPr>
      <t>(1+2+3+4+5+6):</t>
    </r>
  </si>
  <si>
    <r>
      <t xml:space="preserve">H. OBCIĄŻENIE ROCZNE BUDŻETU
   z tytułu spłaty zadłużenia </t>
    </r>
    <r>
      <rPr>
        <b/>
        <sz val="11"/>
        <rFont val="Arial CE"/>
        <family val="0"/>
      </rPr>
      <t>(1+2+3+4+5+6):</t>
    </r>
  </si>
  <si>
    <r>
      <t>G. Wska</t>
    </r>
    <r>
      <rPr>
        <b/>
        <sz val="13"/>
        <rFont val="Arial"/>
        <family val="2"/>
      </rPr>
      <t>ź</t>
    </r>
    <r>
      <rPr>
        <b/>
        <sz val="13"/>
        <rFont val="Arial CE"/>
        <family val="2"/>
      </rPr>
      <t>nik łącznego d</t>
    </r>
    <r>
      <rPr>
        <b/>
        <sz val="13"/>
        <rFont val="Arial"/>
        <family val="2"/>
      </rPr>
      <t>ł</t>
    </r>
    <r>
      <rPr>
        <b/>
        <sz val="13"/>
        <rFont val="Arial CE"/>
        <family val="2"/>
      </rPr>
      <t xml:space="preserve">ugu do dochodu 
  </t>
    </r>
    <r>
      <rPr>
        <b/>
        <sz val="11"/>
        <rFont val="Arial CE"/>
        <family val="0"/>
      </rPr>
      <t xml:space="preserve">   (poz.35</t>
    </r>
    <r>
      <rPr>
        <b/>
        <sz val="13"/>
        <rFont val="Arial CE"/>
        <family val="2"/>
      </rPr>
      <t xml:space="preserve"> / poz.1) %</t>
    </r>
  </si>
  <si>
    <r>
      <t xml:space="preserve">D1. Przychody ogółem 
    </t>
    </r>
    <r>
      <rPr>
        <b/>
        <sz val="12"/>
        <rFont val="Arial CE"/>
        <family val="0"/>
      </rPr>
      <t xml:space="preserve">   </t>
    </r>
    <r>
      <rPr>
        <sz val="12"/>
        <rFont val="Arial CE"/>
        <family val="0"/>
      </rPr>
      <t>z tego:</t>
    </r>
  </si>
  <si>
    <r>
      <t xml:space="preserve">D2. Rozchody ogółem 
</t>
    </r>
    <r>
      <rPr>
        <b/>
        <sz val="13"/>
        <rFont val="Arial CE"/>
        <family val="0"/>
      </rPr>
      <t xml:space="preserve"> </t>
    </r>
    <r>
      <rPr>
        <b/>
        <sz val="12"/>
        <rFont val="Arial CE"/>
        <family val="0"/>
      </rPr>
      <t xml:space="preserve">      z tego:</t>
    </r>
  </si>
  <si>
    <r>
      <t xml:space="preserve"> 1)  spłaty rat kredytów</t>
    </r>
    <r>
      <rPr>
        <b/>
        <sz val="11"/>
        <rFont val="Arial CE"/>
        <family val="0"/>
      </rPr>
      <t xml:space="preserve"> (art.82 ust.1 pkt 2 i 3 ufp)</t>
    </r>
    <r>
      <rPr>
        <b/>
        <sz val="12"/>
        <rFont val="Arial CE"/>
        <family val="0"/>
      </rPr>
      <t xml:space="preserve"> </t>
    </r>
    <r>
      <rPr>
        <b/>
        <sz val="12"/>
        <rFont val="Arial CE"/>
        <family val="2"/>
      </rPr>
      <t>z odsetkami,</t>
    </r>
  </si>
  <si>
    <r>
      <t xml:space="preserve"> 2)  spłaty rat pożyczek </t>
    </r>
    <r>
      <rPr>
        <b/>
        <sz val="11"/>
        <rFont val="Arial CE"/>
        <family val="0"/>
      </rPr>
      <t>(art.82 ust.1 pkt 2 i 3 ufp)</t>
    </r>
    <r>
      <rPr>
        <b/>
        <sz val="12"/>
        <rFont val="Arial CE"/>
        <family val="2"/>
      </rPr>
      <t xml:space="preserve"> z odsetkami,</t>
    </r>
  </si>
  <si>
    <r>
      <t xml:space="preserve">I. Wskaźnik rocznej spłaty łącznego zadłużenia  
    do dochodu </t>
    </r>
    <r>
      <rPr>
        <b/>
        <sz val="12"/>
        <rFont val="Arial CE"/>
        <family val="0"/>
      </rPr>
      <t xml:space="preserve"> (poz.46 / poz.1) %</t>
    </r>
  </si>
  <si>
    <r>
      <t xml:space="preserve">I1. Wskaźnik rocznej spłaty zadłużenia do 
     dochodu </t>
    </r>
    <r>
      <rPr>
        <i/>
        <sz val="12"/>
        <rFont val="Arial CE"/>
        <family val="0"/>
      </rPr>
      <t>(bez poz. 52)</t>
    </r>
    <r>
      <rPr>
        <b/>
        <sz val="12"/>
        <rFont val="Arial CE"/>
        <family val="0"/>
      </rPr>
      <t xml:space="preserve"> ((poz.46 (-) poz. 52) / poz.1) %</t>
    </r>
  </si>
  <si>
    <r>
      <t>G1. Wska</t>
    </r>
    <r>
      <rPr>
        <b/>
        <sz val="13"/>
        <rFont val="Arial"/>
        <family val="2"/>
      </rPr>
      <t>ź</t>
    </r>
    <r>
      <rPr>
        <b/>
        <sz val="13"/>
        <rFont val="Arial CE"/>
        <family val="2"/>
      </rPr>
      <t>nik d</t>
    </r>
    <r>
      <rPr>
        <b/>
        <sz val="13"/>
        <rFont val="Arial"/>
        <family val="2"/>
      </rPr>
      <t>ł</t>
    </r>
    <r>
      <rPr>
        <b/>
        <sz val="13"/>
        <rFont val="Arial CE"/>
        <family val="2"/>
      </rPr>
      <t xml:space="preserve">ugu do dochodu </t>
    </r>
    <r>
      <rPr>
        <i/>
        <sz val="11"/>
        <rFont val="Arial CE"/>
        <family val="0"/>
      </rPr>
      <t>(bez poz. 43)</t>
    </r>
    <r>
      <rPr>
        <b/>
        <sz val="11"/>
        <rFont val="Arial CE"/>
        <family val="0"/>
      </rPr>
      <t xml:space="preserve">
     ((poz.35 (-) poz. 43) / poz.1) %</t>
    </r>
  </si>
  <si>
    <t xml:space="preserve">     D141. środki na pokrycie deficytu</t>
  </si>
  <si>
    <t xml:space="preserve">     c) wykup papierów wartościowych z odsetkami i dyskontem,</t>
  </si>
  <si>
    <r>
      <t xml:space="preserve"> </t>
    </r>
    <r>
      <rPr>
        <b/>
        <sz val="12"/>
        <rFont val="Arial CE"/>
        <family val="0"/>
      </rPr>
      <t>4)</t>
    </r>
    <r>
      <rPr>
        <b/>
        <sz val="12"/>
        <rFont val="Arial CE"/>
        <family val="2"/>
      </rPr>
      <t xml:space="preserve"> wykup papierów wartościowych</t>
    </r>
    <r>
      <rPr>
        <b/>
        <sz val="12"/>
        <rFont val="Arial CE"/>
        <family val="0"/>
      </rPr>
      <t xml:space="preserve"> </t>
    </r>
    <r>
      <rPr>
        <b/>
        <sz val="12"/>
        <rFont val="Arial CE"/>
        <family val="2"/>
      </rPr>
      <t xml:space="preserve">wyemitowanych 
     przez j.s.t. </t>
    </r>
    <r>
      <rPr>
        <sz val="12"/>
        <rFont val="Arial CE"/>
        <family val="0"/>
      </rPr>
      <t>(art.82 ust.1 pkt 2 i 3 ufp)</t>
    </r>
    <r>
      <rPr>
        <b/>
        <sz val="12"/>
        <rFont val="Arial CE"/>
        <family val="0"/>
      </rPr>
      <t>, 
     z należnymi odsetkami i dyskontem,</t>
    </r>
  </si>
  <si>
    <t>2009 r.</t>
  </si>
  <si>
    <r>
      <t>1)</t>
    </r>
    <r>
      <rPr>
        <sz val="10"/>
        <rFont val="Arial CE"/>
        <family val="0"/>
      </rPr>
      <t xml:space="preserve">  - podać dane na poszczególne lata objęte spłatą całego zadłużenia
</t>
    </r>
    <r>
      <rPr>
        <vertAlign val="superscript"/>
        <sz val="10"/>
        <rFont val="Arial CE"/>
        <family val="0"/>
      </rPr>
      <t xml:space="preserve">2) </t>
    </r>
    <r>
      <rPr>
        <sz val="10"/>
        <rFont val="Arial CE"/>
        <family val="0"/>
      </rPr>
      <t xml:space="preserve"> -  depozyty przyjęte do budżetu </t>
    </r>
  </si>
  <si>
    <r>
      <t xml:space="preserve"> 5) odsetki od kredytów i pożyczek oraz odsetki 
    i dyskonto od papierów wart. wyemitowanych 
    przez jst </t>
    </r>
    <r>
      <rPr>
        <b/>
        <sz val="12"/>
        <rFont val="Arial CE"/>
        <family val="0"/>
      </rPr>
      <t>(art.82 ust.1 pkt 1 ufp),</t>
    </r>
  </si>
  <si>
    <t xml:space="preserve">      D251. wyemitowanych w związku z umową zawartą z podmiotem 
               dysponującym środkami, o których mowa w art. 5 ust. 3 ufp.</t>
  </si>
  <si>
    <t xml:space="preserve">      D211. zaciągniętych w związku z umową zawartą z podmiotem 
                dysponującym środkami, o których mowa w art. 5 ust. 3 ufp</t>
  </si>
  <si>
    <t xml:space="preserve">     D151. wyemitowane w związku z umową zawartą z podmiotem 
              dysponującym środkami, o których mowa w art. 5 ust. 3 ufp</t>
  </si>
  <si>
    <t xml:space="preserve">      D121. zaciągnięte w związku z umową zawartą z podmiotem 
                dysponującym środkami, o których mowa w art. 5 ust. 3 ufp</t>
  </si>
  <si>
    <t xml:space="preserve">      D111. zaciągnięte w związku z umową zawartą z podmiotem 
                dysponującym środkami, o których mowa w art. 5 ust. 3 ufp</t>
  </si>
  <si>
    <r>
      <t xml:space="preserve"> 6) zobowiązania związane z umową 
     zawartą z podmiotem dysponującym środkami, 
     o których mowa w art. 5 ust. 3 ufp. </t>
    </r>
    <r>
      <rPr>
        <sz val="12"/>
        <rFont val="Arial CE"/>
        <family val="0"/>
      </rPr>
      <t>(a+b+c):</t>
    </r>
    <r>
      <rPr>
        <b/>
        <sz val="12"/>
        <rFont val="Arial CE"/>
        <family val="2"/>
      </rPr>
      <t xml:space="preserve">   </t>
    </r>
  </si>
  <si>
    <r>
      <t xml:space="preserve"> </t>
    </r>
    <r>
      <rPr>
        <b/>
        <sz val="12"/>
        <rFont val="Arial CE"/>
        <family val="0"/>
      </rPr>
      <t>6)</t>
    </r>
    <r>
      <rPr>
        <b/>
        <sz val="12"/>
        <rFont val="Arial CE"/>
        <family val="2"/>
      </rPr>
      <t xml:space="preserve"> spłaty zobowiązań związanych z umową 
      zawartą z podmiotem dysponującym środkami, 
      o których mowa w art. 5 ust. 3 ufp. </t>
    </r>
    <r>
      <rPr>
        <sz val="12"/>
        <rFont val="Arial CE"/>
        <family val="0"/>
      </rPr>
      <t>(a+b+c+d):</t>
    </r>
  </si>
  <si>
    <t>2010 r.</t>
  </si>
  <si>
    <t>odsetki kredyt</t>
  </si>
  <si>
    <t>odsetki pożyczka</t>
  </si>
  <si>
    <t>2011 r.</t>
  </si>
  <si>
    <t>2012 r.</t>
  </si>
  <si>
    <t>2013 r.</t>
  </si>
  <si>
    <t>2014 r.</t>
  </si>
  <si>
    <t>2015 r.</t>
  </si>
  <si>
    <t>2016 r.</t>
  </si>
  <si>
    <t>2017 r.</t>
  </si>
  <si>
    <t>E. Niekasowe róznice kursowe</t>
  </si>
  <si>
    <t>odsetki obligacje</t>
  </si>
  <si>
    <t xml:space="preserve">      D221. zaciągniętych w związku z umową zawartą z podmiotem 
                dysponującym środkami, o których mowa w art. 5 ust. 3 ufp</t>
  </si>
  <si>
    <t>III kw 2009 r</t>
  </si>
  <si>
    <t>A1. Dochody bieżące (Db)</t>
  </si>
  <si>
    <t>B1. Wydatki bieżące (Wb)</t>
  </si>
  <si>
    <t>w tym ze sprzedaży majątku (Sm)</t>
  </si>
  <si>
    <r>
      <t xml:space="preserve">A. DOCHODY </t>
    </r>
    <r>
      <rPr>
        <sz val="10"/>
        <rFont val="Arial CE"/>
        <family val="0"/>
      </rPr>
      <t>(A1+A2) (Dog)</t>
    </r>
  </si>
  <si>
    <t>Fakultatywne dane uzupełniające dotyczące relacji, o której mowa w art. 243 ustawy z dnia 27 sierpnia 2009 r. o finansach publicznych</t>
  </si>
  <si>
    <t>Dochody bieżące   Db</t>
  </si>
  <si>
    <t>Sprzedaż majątku   Sm</t>
  </si>
  <si>
    <t>Wydatki bieżące   Wb</t>
  </si>
  <si>
    <t>Wskaźnik (Db + Sm - Wb) / Dog</t>
  </si>
  <si>
    <r>
      <t xml:space="preserve">Spłata rat (R + O) </t>
    </r>
    <r>
      <rPr>
        <sz val="13"/>
        <rFont val="Arial CE"/>
        <family val="0"/>
      </rPr>
      <t xml:space="preserve">(poz. 46+47+49) </t>
    </r>
  </si>
  <si>
    <r>
      <t>Wskaźnik (R + O) / Dog</t>
    </r>
    <r>
      <rPr>
        <sz val="13"/>
        <rFont val="Arial CE"/>
        <family val="0"/>
      </rPr>
      <t xml:space="preserve"> (poz. 46+47+49)/poz. 1</t>
    </r>
  </si>
  <si>
    <t>odsetki pożyczkaII</t>
  </si>
  <si>
    <t>odsetki obligacjeII</t>
  </si>
  <si>
    <t>obligacje09</t>
  </si>
  <si>
    <t>obligacje 10</t>
  </si>
  <si>
    <t>0bligacje 10</t>
  </si>
  <si>
    <t>2018 r.</t>
  </si>
  <si>
    <t>2019 r.</t>
  </si>
  <si>
    <t>2020 r.</t>
  </si>
  <si>
    <t>Prognoza Łącznej kwoty dlugu publicznego Gminy Widuchowa na lata 2010-2020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</si>
</sst>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i/>
      <u val="single"/>
      <sz val="12"/>
      <name val="Arial CE"/>
      <family val="2"/>
    </font>
    <font>
      <sz val="12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b/>
      <sz val="16"/>
      <name val="Arial CE"/>
      <family val="2"/>
    </font>
    <font>
      <b/>
      <sz val="13"/>
      <name val="Arial"/>
      <family val="2"/>
    </font>
    <font>
      <b/>
      <vertAlign val="superscript"/>
      <sz val="12"/>
      <name val="Arial CE"/>
      <family val="0"/>
    </font>
    <font>
      <vertAlign val="superscript"/>
      <sz val="10"/>
      <name val="Arial CE"/>
      <family val="0"/>
    </font>
    <font>
      <b/>
      <sz val="11"/>
      <name val="Arial CE"/>
      <family val="0"/>
    </font>
    <font>
      <i/>
      <sz val="11"/>
      <name val="Arial CE"/>
      <family val="0"/>
    </font>
    <font>
      <i/>
      <sz val="12"/>
      <name val="Arial CE"/>
      <family val="0"/>
    </font>
    <font>
      <i/>
      <sz val="10"/>
      <name val="Arial CE"/>
      <family val="2"/>
    </font>
    <font>
      <sz val="12"/>
      <name val="Arial"/>
      <family val="2"/>
    </font>
    <font>
      <sz val="10"/>
      <name val="Times New Roman"/>
      <family val="1"/>
    </font>
    <font>
      <sz val="1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7DB2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thin"/>
      <right/>
      <top style="medium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/>
      <top style="medium"/>
      <bottom style="hair"/>
    </border>
    <border>
      <left/>
      <right/>
      <top style="hair"/>
      <bottom style="thin"/>
    </border>
    <border>
      <left/>
      <right/>
      <top style="thin"/>
      <bottom style="medium"/>
    </border>
    <border>
      <left/>
      <right style="medium"/>
      <top style="hair"/>
      <bottom style="thin"/>
    </border>
    <border>
      <left style="medium"/>
      <right style="medium"/>
      <top/>
      <bottom/>
    </border>
    <border>
      <left style="thin"/>
      <right/>
      <top/>
      <bottom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medium"/>
      <bottom style="thin"/>
      <diagonal style="thin"/>
    </border>
    <border>
      <left style="medium"/>
      <right style="thin"/>
      <top style="thin"/>
      <bottom/>
    </border>
    <border>
      <left style="medium"/>
      <right style="medium"/>
      <top style="hair"/>
      <bottom/>
    </border>
    <border>
      <left/>
      <right style="medium"/>
      <top style="hair"/>
      <bottom/>
    </border>
    <border>
      <left/>
      <right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51" applyFont="1" applyAlignment="1">
      <alignment horizontal="center"/>
      <protection/>
    </xf>
    <xf numFmtId="0" fontId="2" fillId="0" borderId="0" xfId="51">
      <alignment/>
      <protection/>
    </xf>
    <xf numFmtId="0" fontId="4" fillId="0" borderId="0" xfId="51" applyFont="1" applyBorder="1" applyAlignment="1">
      <alignment horizontal="center" vertical="center" wrapText="1"/>
      <protection/>
    </xf>
    <xf numFmtId="0" fontId="8" fillId="0" borderId="0" xfId="51" applyFont="1">
      <alignment/>
      <protection/>
    </xf>
    <xf numFmtId="0" fontId="6" fillId="0" borderId="0" xfId="51" applyFont="1">
      <alignment/>
      <protection/>
    </xf>
    <xf numFmtId="0" fontId="6" fillId="0" borderId="10" xfId="51" applyFont="1" applyBorder="1" applyAlignment="1">
      <alignment vertical="center"/>
      <protection/>
    </xf>
    <xf numFmtId="0" fontId="6" fillId="0" borderId="11" xfId="51" applyFont="1" applyBorder="1" applyAlignment="1">
      <alignment horizontal="center" vertical="center"/>
      <protection/>
    </xf>
    <xf numFmtId="0" fontId="4" fillId="0" borderId="12" xfId="51" applyFont="1" applyBorder="1" applyAlignment="1">
      <alignment vertical="center" wrapText="1"/>
      <protection/>
    </xf>
    <xf numFmtId="0" fontId="6" fillId="0" borderId="13" xfId="51" applyFont="1" applyBorder="1" applyAlignment="1">
      <alignment vertical="center"/>
      <protection/>
    </xf>
    <xf numFmtId="0" fontId="4" fillId="0" borderId="12" xfId="51" applyFont="1" applyBorder="1" applyAlignment="1">
      <alignment vertical="center"/>
      <protection/>
    </xf>
    <xf numFmtId="0" fontId="4" fillId="0" borderId="12" xfId="51" applyFont="1" applyFill="1" applyBorder="1" applyAlignment="1">
      <alignment vertical="center"/>
      <protection/>
    </xf>
    <xf numFmtId="0" fontId="4" fillId="0" borderId="10" xfId="51" applyFont="1" applyFill="1" applyBorder="1" applyAlignment="1">
      <alignment vertical="center" wrapText="1"/>
      <protection/>
    </xf>
    <xf numFmtId="0" fontId="4" fillId="0" borderId="14" xfId="51" applyFont="1" applyFill="1" applyBorder="1" applyAlignment="1">
      <alignment vertical="center"/>
      <protection/>
    </xf>
    <xf numFmtId="0" fontId="4" fillId="0" borderId="14" xfId="51" applyFont="1" applyFill="1" applyBorder="1" applyAlignment="1">
      <alignment vertical="center" wrapText="1"/>
      <protection/>
    </xf>
    <xf numFmtId="0" fontId="4" fillId="0" borderId="15" xfId="51" applyFont="1" applyFill="1" applyBorder="1" applyAlignment="1">
      <alignment vertical="center" wrapText="1"/>
      <protection/>
    </xf>
    <xf numFmtId="0" fontId="6" fillId="0" borderId="16" xfId="51" applyFont="1" applyFill="1" applyBorder="1" applyAlignment="1">
      <alignment horizontal="center" vertical="center"/>
      <protection/>
    </xf>
    <xf numFmtId="0" fontId="6" fillId="33" borderId="16" xfId="51" applyFont="1" applyFill="1" applyBorder="1" applyAlignment="1">
      <alignment horizontal="center" vertical="center"/>
      <protection/>
    </xf>
    <xf numFmtId="0" fontId="6" fillId="0" borderId="16" xfId="51" applyFont="1" applyBorder="1" applyAlignment="1">
      <alignment horizontal="center" vertical="center"/>
      <protection/>
    </xf>
    <xf numFmtId="0" fontId="6" fillId="0" borderId="17" xfId="51" applyFont="1" applyBorder="1" applyAlignment="1">
      <alignment horizontal="center" vertical="center"/>
      <protection/>
    </xf>
    <xf numFmtId="0" fontId="6" fillId="0" borderId="18" xfId="51" applyFont="1" applyBorder="1" applyAlignment="1">
      <alignment horizontal="center" vertical="center"/>
      <protection/>
    </xf>
    <xf numFmtId="0" fontId="6" fillId="0" borderId="19" xfId="51" applyFont="1" applyBorder="1" applyAlignment="1">
      <alignment horizontal="center" vertical="center"/>
      <protection/>
    </xf>
    <xf numFmtId="0" fontId="7" fillId="0" borderId="20" xfId="51" applyFont="1" applyBorder="1" applyAlignment="1">
      <alignment vertical="center"/>
      <protection/>
    </xf>
    <xf numFmtId="0" fontId="7" fillId="33" borderId="20" xfId="51" applyFont="1" applyFill="1" applyBorder="1" applyAlignment="1">
      <alignment vertical="center" wrapText="1"/>
      <protection/>
    </xf>
    <xf numFmtId="0" fontId="7" fillId="33" borderId="20" xfId="51" applyFont="1" applyFill="1" applyBorder="1" applyAlignment="1">
      <alignment vertical="center"/>
      <protection/>
    </xf>
    <xf numFmtId="0" fontId="7" fillId="0" borderId="20" xfId="51" applyFont="1" applyFill="1" applyBorder="1" applyAlignment="1">
      <alignment vertical="center" wrapText="1"/>
      <protection/>
    </xf>
    <xf numFmtId="0" fontId="4" fillId="0" borderId="12" xfId="51" applyFont="1" applyFill="1" applyBorder="1" applyAlignment="1">
      <alignment vertical="center" wrapText="1"/>
      <protection/>
    </xf>
    <xf numFmtId="0" fontId="4" fillId="0" borderId="10" xfId="51" applyFont="1" applyBorder="1" applyAlignment="1">
      <alignment vertical="center" wrapText="1"/>
      <protection/>
    </xf>
    <xf numFmtId="0" fontId="4" fillId="0" borderId="12" xfId="51" applyFont="1" applyBorder="1" applyAlignment="1">
      <alignment vertical="center" wrapText="1"/>
      <protection/>
    </xf>
    <xf numFmtId="0" fontId="4" fillId="0" borderId="10" xfId="51" applyFont="1" applyBorder="1" applyAlignment="1">
      <alignment vertical="center" wrapText="1"/>
      <protection/>
    </xf>
    <xf numFmtId="0" fontId="12" fillId="0" borderId="0" xfId="51" applyFont="1" applyAlignment="1">
      <alignment horizontal="left"/>
      <protection/>
    </xf>
    <xf numFmtId="0" fontId="2" fillId="0" borderId="10" xfId="51" applyFont="1" applyBorder="1" applyAlignment="1">
      <alignment vertical="center" wrapText="1"/>
      <protection/>
    </xf>
    <xf numFmtId="0" fontId="2" fillId="0" borderId="10" xfId="51" applyFont="1" applyFill="1" applyBorder="1" applyAlignment="1">
      <alignment vertical="center" wrapText="1"/>
      <protection/>
    </xf>
    <xf numFmtId="0" fontId="2" fillId="0" borderId="14" xfId="51" applyFont="1" applyFill="1" applyBorder="1" applyAlignment="1">
      <alignment vertical="center" wrapText="1"/>
      <protection/>
    </xf>
    <xf numFmtId="0" fontId="2" fillId="0" borderId="15" xfId="51" applyFont="1" applyFill="1" applyBorder="1" applyAlignment="1">
      <alignment vertical="center" wrapText="1"/>
      <protection/>
    </xf>
    <xf numFmtId="0" fontId="2" fillId="0" borderId="21" xfId="51" applyFont="1" applyFill="1" applyBorder="1" applyAlignment="1">
      <alignment vertical="center" wrapText="1"/>
      <protection/>
    </xf>
    <xf numFmtId="0" fontId="9" fillId="0" borderId="22" xfId="51" applyFont="1" applyBorder="1" applyAlignment="1">
      <alignment horizontal="center"/>
      <protection/>
    </xf>
    <xf numFmtId="0" fontId="2" fillId="0" borderId="23" xfId="51" applyBorder="1">
      <alignment/>
      <protection/>
    </xf>
    <xf numFmtId="0" fontId="2" fillId="0" borderId="24" xfId="51" applyFont="1" applyBorder="1" applyAlignment="1">
      <alignment horizontal="center"/>
      <protection/>
    </xf>
    <xf numFmtId="0" fontId="4" fillId="0" borderId="25" xfId="51" applyFont="1" applyBorder="1" applyAlignment="1">
      <alignment horizontal="center"/>
      <protection/>
    </xf>
    <xf numFmtId="0" fontId="12" fillId="0" borderId="0" xfId="51" applyFont="1" applyAlignment="1">
      <alignment horizontal="left" wrapText="1"/>
      <protection/>
    </xf>
    <xf numFmtId="0" fontId="5" fillId="0" borderId="0" xfId="51" applyFont="1" applyBorder="1" applyAlignment="1">
      <alignment horizontal="center" vertical="center" wrapText="1"/>
      <protection/>
    </xf>
    <xf numFmtId="0" fontId="3" fillId="0" borderId="24" xfId="51" applyFont="1" applyBorder="1" applyAlignment="1">
      <alignment horizontal="center" vertical="center"/>
      <protection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26" xfId="51" applyFont="1" applyFill="1" applyBorder="1" applyAlignment="1">
      <alignment vertical="center"/>
      <protection/>
    </xf>
    <xf numFmtId="3" fontId="7" fillId="33" borderId="27" xfId="51" applyNumberFormat="1" applyFont="1" applyFill="1" applyBorder="1" applyAlignment="1">
      <alignment vertical="center"/>
      <protection/>
    </xf>
    <xf numFmtId="3" fontId="6" fillId="0" borderId="28" xfId="51" applyNumberFormat="1" applyFont="1" applyBorder="1" applyAlignment="1">
      <alignment vertical="center"/>
      <protection/>
    </xf>
    <xf numFmtId="3" fontId="6" fillId="0" borderId="29" xfId="51" applyNumberFormat="1" applyFont="1" applyBorder="1" applyAlignment="1">
      <alignment vertical="center"/>
      <protection/>
    </xf>
    <xf numFmtId="3" fontId="6" fillId="0" borderId="15" xfId="51" applyNumberFormat="1" applyFont="1" applyBorder="1" applyAlignment="1">
      <alignment vertical="center"/>
      <protection/>
    </xf>
    <xf numFmtId="3" fontId="6" fillId="0" borderId="30" xfId="51" applyNumberFormat="1" applyFont="1" applyBorder="1" applyAlignment="1">
      <alignment vertical="center"/>
      <protection/>
    </xf>
    <xf numFmtId="3" fontId="17" fillId="0" borderId="31" xfId="0" applyNumberFormat="1" applyFont="1" applyBorder="1" applyAlignment="1">
      <alignment vertical="center"/>
    </xf>
    <xf numFmtId="3" fontId="6" fillId="0" borderId="14" xfId="51" applyNumberFormat="1" applyFont="1" applyBorder="1" applyAlignment="1">
      <alignment vertical="center"/>
      <protection/>
    </xf>
    <xf numFmtId="3" fontId="6" fillId="0" borderId="31" xfId="51" applyNumberFormat="1" applyFont="1" applyBorder="1" applyAlignment="1">
      <alignment vertical="center"/>
      <protection/>
    </xf>
    <xf numFmtId="3" fontId="6" fillId="0" borderId="31" xfId="0" applyNumberFormat="1" applyFont="1" applyBorder="1" applyAlignment="1">
      <alignment vertical="center"/>
    </xf>
    <xf numFmtId="3" fontId="7" fillId="33" borderId="27" xfId="51" applyNumberFormat="1" applyFont="1" applyFill="1" applyBorder="1" applyAlignment="1">
      <alignment vertical="center" wrapText="1"/>
      <protection/>
    </xf>
    <xf numFmtId="3" fontId="6" fillId="0" borderId="31" xfId="51" applyNumberFormat="1" applyFont="1" applyBorder="1" applyAlignment="1">
      <alignment vertical="center"/>
      <protection/>
    </xf>
    <xf numFmtId="3" fontId="6" fillId="0" borderId="14" xfId="51" applyNumberFormat="1" applyFont="1" applyBorder="1" applyAlignment="1">
      <alignment vertical="center"/>
      <protection/>
    </xf>
    <xf numFmtId="3" fontId="6" fillId="0" borderId="31" xfId="51" applyNumberFormat="1" applyFont="1" applyFill="1" applyBorder="1" applyAlignment="1">
      <alignment vertical="center"/>
      <protection/>
    </xf>
    <xf numFmtId="3" fontId="6" fillId="0" borderId="14" xfId="51" applyNumberFormat="1" applyFont="1" applyBorder="1" applyAlignment="1">
      <alignment/>
      <protection/>
    </xf>
    <xf numFmtId="3" fontId="6" fillId="0" borderId="31" xfId="51" applyNumberFormat="1" applyFont="1" applyBorder="1" applyAlignment="1">
      <alignment/>
      <protection/>
    </xf>
    <xf numFmtId="3" fontId="6" fillId="0" borderId="32" xfId="51" applyNumberFormat="1" applyFont="1" applyFill="1" applyBorder="1" applyAlignment="1">
      <alignment vertical="center"/>
      <protection/>
    </xf>
    <xf numFmtId="3" fontId="6" fillId="0" borderId="30" xfId="51" applyNumberFormat="1" applyFont="1" applyFill="1" applyBorder="1" applyAlignment="1">
      <alignment vertical="center"/>
      <protection/>
    </xf>
    <xf numFmtId="3" fontId="6" fillId="0" borderId="15" xfId="51" applyNumberFormat="1" applyFont="1" applyBorder="1" applyAlignment="1">
      <alignment/>
      <protection/>
    </xf>
    <xf numFmtId="3" fontId="6" fillId="0" borderId="30" xfId="51" applyNumberFormat="1" applyFont="1" applyBorder="1" applyAlignment="1">
      <alignment/>
      <protection/>
    </xf>
    <xf numFmtId="3" fontId="6" fillId="0" borderId="14" xfId="51" applyNumberFormat="1" applyFont="1" applyFill="1" applyBorder="1" applyAlignment="1">
      <alignment vertical="center"/>
      <protection/>
    </xf>
    <xf numFmtId="3" fontId="7" fillId="0" borderId="27" xfId="51" applyNumberFormat="1" applyFont="1" applyBorder="1" applyAlignment="1">
      <alignment vertical="center"/>
      <protection/>
    </xf>
    <xf numFmtId="3" fontId="7" fillId="0" borderId="27" xfId="0" applyNumberFormat="1" applyFont="1" applyBorder="1" applyAlignment="1">
      <alignment vertical="center"/>
    </xf>
    <xf numFmtId="0" fontId="2" fillId="0" borderId="12" xfId="51" applyFont="1" applyBorder="1" applyAlignment="1">
      <alignment vertical="center" wrapText="1"/>
      <protection/>
    </xf>
    <xf numFmtId="1" fontId="18" fillId="0" borderId="33" xfId="51" applyNumberFormat="1" applyFont="1" applyFill="1" applyBorder="1" applyAlignment="1">
      <alignment horizontal="right" vertical="center"/>
      <protection/>
    </xf>
    <xf numFmtId="1" fontId="18" fillId="0" borderId="34" xfId="51" applyNumberFormat="1" applyFont="1" applyFill="1" applyBorder="1" applyAlignment="1">
      <alignment horizontal="right" vertical="center"/>
      <protection/>
    </xf>
    <xf numFmtId="1" fontId="18" fillId="0" borderId="35" xfId="0" applyNumberFormat="1" applyFont="1" applyFill="1" applyBorder="1" applyAlignment="1">
      <alignment horizontal="right" vertical="center"/>
    </xf>
    <xf numFmtId="1" fontId="18" fillId="0" borderId="26" xfId="0" applyNumberFormat="1" applyFont="1" applyFill="1" applyBorder="1" applyAlignment="1">
      <alignment horizontal="right" vertical="center"/>
    </xf>
    <xf numFmtId="1" fontId="18" fillId="0" borderId="36" xfId="0" applyNumberFormat="1" applyFont="1" applyFill="1" applyBorder="1" applyAlignment="1">
      <alignment horizontal="right" vertical="center"/>
    </xf>
    <xf numFmtId="10" fontId="7" fillId="33" borderId="27" xfId="51" applyNumberFormat="1" applyFont="1" applyFill="1" applyBorder="1" applyAlignment="1">
      <alignment horizontal="center" vertical="center"/>
      <protection/>
    </xf>
    <xf numFmtId="10" fontId="7" fillId="0" borderId="27" xfId="51" applyNumberFormat="1" applyFont="1" applyFill="1" applyBorder="1" applyAlignment="1">
      <alignment horizontal="center" vertical="center"/>
      <protection/>
    </xf>
    <xf numFmtId="0" fontId="18" fillId="0" borderId="37" xfId="51" applyFont="1" applyFill="1" applyBorder="1" applyAlignment="1">
      <alignment horizontal="center" vertical="center"/>
      <protection/>
    </xf>
    <xf numFmtId="2" fontId="18" fillId="0" borderId="38" xfId="51" applyNumberFormat="1" applyFont="1" applyFill="1" applyBorder="1" applyAlignment="1">
      <alignment vertical="center" wrapText="1"/>
      <protection/>
    </xf>
    <xf numFmtId="2" fontId="18" fillId="0" borderId="39" xfId="51" applyNumberFormat="1" applyFont="1" applyFill="1" applyBorder="1" applyAlignment="1">
      <alignment vertical="center" wrapText="1"/>
      <protection/>
    </xf>
    <xf numFmtId="3" fontId="6" fillId="0" borderId="34" xfId="51" applyNumberFormat="1" applyFont="1" applyFill="1" applyBorder="1" applyAlignment="1">
      <alignment vertical="center"/>
      <protection/>
    </xf>
    <xf numFmtId="3" fontId="6" fillId="0" borderId="40" xfId="51" applyNumberFormat="1" applyFont="1" applyFill="1" applyBorder="1" applyAlignment="1">
      <alignment vertical="center"/>
      <protection/>
    </xf>
    <xf numFmtId="10" fontId="7" fillId="33" borderId="27" xfId="51" applyNumberFormat="1" applyFont="1" applyFill="1" applyBorder="1" applyAlignment="1">
      <alignment horizontal="right" vertical="center"/>
      <protection/>
    </xf>
    <xf numFmtId="10" fontId="7" fillId="0" borderId="27" xfId="51" applyNumberFormat="1" applyFont="1" applyFill="1" applyBorder="1" applyAlignment="1">
      <alignment horizontal="right" vertical="center"/>
      <protection/>
    </xf>
    <xf numFmtId="1" fontId="18" fillId="0" borderId="41" xfId="51" applyNumberFormat="1" applyFont="1" applyFill="1" applyBorder="1" applyAlignment="1">
      <alignment horizontal="right" vertical="center"/>
      <protection/>
    </xf>
    <xf numFmtId="1" fontId="19" fillId="0" borderId="36" xfId="0" applyNumberFormat="1" applyFont="1" applyFill="1" applyBorder="1" applyAlignment="1">
      <alignment horizontal="right" vertical="center"/>
    </xf>
    <xf numFmtId="0" fontId="2" fillId="0" borderId="34" xfId="51" applyNumberFormat="1" applyFont="1" applyBorder="1">
      <alignment/>
      <protection/>
    </xf>
    <xf numFmtId="0" fontId="6" fillId="0" borderId="37" xfId="51" applyFont="1" applyBorder="1" applyAlignment="1">
      <alignment horizontal="center" vertical="center"/>
      <protection/>
    </xf>
    <xf numFmtId="3" fontId="6" fillId="0" borderId="0" xfId="51" applyNumberFormat="1" applyFont="1" applyBorder="1" applyAlignment="1">
      <alignment vertical="center"/>
      <protection/>
    </xf>
    <xf numFmtId="3" fontId="6" fillId="0" borderId="42" xfId="51" applyNumberFormat="1" applyFont="1" applyBorder="1" applyAlignment="1">
      <alignment vertical="center"/>
      <protection/>
    </xf>
    <xf numFmtId="0" fontId="7" fillId="0" borderId="43" xfId="51" applyFont="1" applyBorder="1" applyAlignment="1">
      <alignment vertical="center"/>
      <protection/>
    </xf>
    <xf numFmtId="2" fontId="18" fillId="0" borderId="0" xfId="51" applyNumberFormat="1" applyFont="1" applyFill="1" applyBorder="1" applyAlignment="1">
      <alignment vertical="center" wrapText="1"/>
      <protection/>
    </xf>
    <xf numFmtId="1" fontId="18" fillId="0" borderId="22" xfId="51" applyNumberFormat="1" applyFont="1" applyFill="1" applyBorder="1" applyAlignment="1">
      <alignment horizontal="right" vertical="center"/>
      <protection/>
    </xf>
    <xf numFmtId="1" fontId="18" fillId="0" borderId="44" xfId="51" applyNumberFormat="1" applyFont="1" applyFill="1" applyBorder="1" applyAlignment="1">
      <alignment horizontal="right" vertical="center"/>
      <protection/>
    </xf>
    <xf numFmtId="1" fontId="18" fillId="0" borderId="25" xfId="51" applyNumberFormat="1" applyFont="1" applyFill="1" applyBorder="1" applyAlignment="1">
      <alignment horizontal="right" vertical="center"/>
      <protection/>
    </xf>
    <xf numFmtId="3" fontId="6" fillId="0" borderId="25" xfId="51" applyNumberFormat="1" applyFont="1" applyFill="1" applyBorder="1" applyAlignment="1">
      <alignment vertical="center"/>
      <protection/>
    </xf>
    <xf numFmtId="1" fontId="18" fillId="0" borderId="45" xfId="51" applyNumberFormat="1" applyFont="1" applyFill="1" applyBorder="1" applyAlignment="1">
      <alignment horizontal="right" vertical="center"/>
      <protection/>
    </xf>
    <xf numFmtId="3" fontId="6" fillId="0" borderId="45" xfId="51" applyNumberFormat="1" applyFont="1" applyFill="1" applyBorder="1" applyAlignment="1">
      <alignment vertical="center"/>
      <protection/>
    </xf>
    <xf numFmtId="1" fontId="18" fillId="0" borderId="46" xfId="51" applyNumberFormat="1" applyFont="1" applyFill="1" applyBorder="1" applyAlignment="1">
      <alignment horizontal="right" vertical="center"/>
      <protection/>
    </xf>
    <xf numFmtId="3" fontId="6" fillId="0" borderId="46" xfId="51" applyNumberFormat="1" applyFont="1" applyFill="1" applyBorder="1" applyAlignment="1">
      <alignment vertical="center"/>
      <protection/>
    </xf>
    <xf numFmtId="1" fontId="18" fillId="0" borderId="31" xfId="51" applyNumberFormat="1" applyFont="1" applyFill="1" applyBorder="1" applyAlignment="1">
      <alignment horizontal="right" vertical="center"/>
      <protection/>
    </xf>
    <xf numFmtId="1" fontId="18" fillId="0" borderId="31" xfId="0" applyNumberFormat="1" applyFont="1" applyFill="1" applyBorder="1" applyAlignment="1">
      <alignment horizontal="right" vertical="center"/>
    </xf>
    <xf numFmtId="3" fontId="6" fillId="0" borderId="34" xfId="0" applyNumberFormat="1" applyFont="1" applyBorder="1" applyAlignment="1">
      <alignment vertical="center"/>
    </xf>
    <xf numFmtId="3" fontId="6" fillId="0" borderId="34" xfId="51" applyNumberFormat="1" applyFont="1" applyBorder="1" applyAlignment="1">
      <alignment vertical="center"/>
      <protection/>
    </xf>
    <xf numFmtId="0" fontId="16" fillId="0" borderId="0" xfId="0" applyFont="1" applyAlignment="1">
      <alignment horizontal="left" wrapText="1"/>
    </xf>
    <xf numFmtId="0" fontId="3" fillId="0" borderId="27" xfId="51" applyFont="1" applyBorder="1" applyAlignment="1">
      <alignment horizontal="center" vertical="center"/>
      <protection/>
    </xf>
    <xf numFmtId="1" fontId="18" fillId="0" borderId="30" xfId="51" applyNumberFormat="1" applyFont="1" applyFill="1" applyBorder="1" applyAlignment="1">
      <alignment horizontal="right" vertical="center"/>
      <protection/>
    </xf>
    <xf numFmtId="0" fontId="2" fillId="0" borderId="30" xfId="51" applyNumberFormat="1" applyFont="1" applyBorder="1">
      <alignment/>
      <protection/>
    </xf>
    <xf numFmtId="0" fontId="6" fillId="0" borderId="47" xfId="51" applyFont="1" applyBorder="1" applyAlignment="1">
      <alignment horizontal="center" vertical="center"/>
      <protection/>
    </xf>
    <xf numFmtId="0" fontId="6" fillId="0" borderId="48" xfId="51" applyFont="1" applyBorder="1" applyAlignment="1">
      <alignment vertical="center"/>
      <protection/>
    </xf>
    <xf numFmtId="0" fontId="6" fillId="0" borderId="36" xfId="51" applyFont="1" applyFill="1" applyBorder="1" applyAlignment="1">
      <alignment horizontal="center" vertical="center"/>
      <protection/>
    </xf>
    <xf numFmtId="0" fontId="7" fillId="0" borderId="36" xfId="51" applyFont="1" applyFill="1" applyBorder="1" applyAlignment="1">
      <alignment vertical="center" wrapText="1"/>
      <protection/>
    </xf>
    <xf numFmtId="2" fontId="7" fillId="0" borderId="49" xfId="51" applyNumberFormat="1" applyFont="1" applyFill="1" applyBorder="1" applyAlignment="1">
      <alignment horizontal="center" vertical="center"/>
      <protection/>
    </xf>
    <xf numFmtId="0" fontId="6" fillId="0" borderId="26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vertical="center" wrapText="1"/>
      <protection/>
    </xf>
    <xf numFmtId="0" fontId="7" fillId="33" borderId="12" xfId="51" applyFont="1" applyFill="1" applyBorder="1" applyAlignment="1">
      <alignment vertical="center" wrapText="1"/>
      <protection/>
    </xf>
    <xf numFmtId="0" fontId="7" fillId="33" borderId="27" xfId="51" applyFont="1" applyFill="1" applyBorder="1" applyAlignment="1">
      <alignment vertical="center" wrapText="1"/>
      <protection/>
    </xf>
    <xf numFmtId="0" fontId="6" fillId="0" borderId="35" xfId="51" applyFont="1" applyFill="1" applyBorder="1" applyAlignment="1">
      <alignment horizontal="center" vertical="center"/>
      <protection/>
    </xf>
    <xf numFmtId="0" fontId="7" fillId="0" borderId="35" xfId="51" applyFont="1" applyFill="1" applyBorder="1" applyAlignment="1">
      <alignment vertical="center" wrapText="1"/>
      <protection/>
    </xf>
    <xf numFmtId="2" fontId="7" fillId="0" borderId="50" xfId="51" applyNumberFormat="1" applyFont="1" applyFill="1" applyBorder="1" applyAlignment="1">
      <alignment horizontal="center" vertical="center"/>
      <protection/>
    </xf>
    <xf numFmtId="1" fontId="2" fillId="0" borderId="36" xfId="51" applyNumberFormat="1" applyFont="1" applyFill="1" applyBorder="1" applyAlignment="1">
      <alignment horizontal="right" vertical="center"/>
      <protection/>
    </xf>
    <xf numFmtId="1" fontId="2" fillId="0" borderId="26" xfId="51" applyNumberFormat="1" applyFont="1" applyFill="1" applyBorder="1" applyAlignment="1">
      <alignment horizontal="right" vertical="center"/>
      <protection/>
    </xf>
    <xf numFmtId="1" fontId="7" fillId="0" borderId="35" xfId="51" applyNumberFormat="1" applyFont="1" applyFill="1" applyBorder="1" applyAlignment="1">
      <alignment horizontal="right" vertical="center"/>
      <protection/>
    </xf>
    <xf numFmtId="10" fontId="7" fillId="33" borderId="27" xfId="51" applyNumberFormat="1" applyFont="1" applyFill="1" applyBorder="1" applyAlignment="1">
      <alignment vertical="center" wrapText="1"/>
      <protection/>
    </xf>
    <xf numFmtId="0" fontId="8" fillId="0" borderId="51" xfId="51" applyFont="1" applyBorder="1" applyAlignment="1">
      <alignment horizontal="center" vertical="center"/>
      <protection/>
    </xf>
    <xf numFmtId="1" fontId="18" fillId="0" borderId="52" xfId="51" applyNumberFormat="1" applyFont="1" applyFill="1" applyBorder="1" applyAlignment="1">
      <alignment horizontal="right" vertical="center"/>
      <protection/>
    </xf>
    <xf numFmtId="3" fontId="6" fillId="0" borderId="52" xfId="51" applyNumberFormat="1" applyFont="1" applyFill="1" applyBorder="1" applyAlignment="1">
      <alignment vertical="center"/>
      <protection/>
    </xf>
    <xf numFmtId="1" fontId="18" fillId="0" borderId="53" xfId="51" applyNumberFormat="1" applyFont="1" applyFill="1" applyBorder="1" applyAlignment="1">
      <alignment horizontal="right" vertical="center"/>
      <protection/>
    </xf>
    <xf numFmtId="2" fontId="18" fillId="0" borderId="44" xfId="51" applyNumberFormat="1" applyFont="1" applyFill="1" applyBorder="1" applyAlignment="1">
      <alignment vertical="center" wrapText="1"/>
      <protection/>
    </xf>
    <xf numFmtId="0" fontId="6" fillId="34" borderId="19" xfId="51" applyFont="1" applyFill="1" applyBorder="1" applyAlignment="1">
      <alignment horizontal="center" vertical="center"/>
      <protection/>
    </xf>
    <xf numFmtId="0" fontId="4" fillId="34" borderId="10" xfId="51" applyFont="1" applyFill="1" applyBorder="1" applyAlignment="1">
      <alignment vertical="center" wrapText="1"/>
      <protection/>
    </xf>
    <xf numFmtId="1" fontId="18" fillId="34" borderId="14" xfId="0" applyNumberFormat="1" applyFont="1" applyFill="1" applyBorder="1" applyAlignment="1">
      <alignment horizontal="right" vertical="center"/>
    </xf>
    <xf numFmtId="3" fontId="6" fillId="34" borderId="14" xfId="51" applyNumberFormat="1" applyFont="1" applyFill="1" applyBorder="1" applyAlignment="1">
      <alignment vertical="center"/>
      <protection/>
    </xf>
    <xf numFmtId="3" fontId="6" fillId="34" borderId="31" xfId="51" applyNumberFormat="1" applyFont="1" applyFill="1" applyBorder="1" applyAlignment="1">
      <alignment vertical="center"/>
      <protection/>
    </xf>
    <xf numFmtId="3" fontId="6" fillId="34" borderId="0" xfId="51" applyNumberFormat="1" applyFont="1" applyFill="1" applyBorder="1" applyAlignment="1">
      <alignment vertical="center"/>
      <protection/>
    </xf>
    <xf numFmtId="0" fontId="8" fillId="34" borderId="0" xfId="51" applyFont="1" applyFill="1" applyAlignment="1">
      <alignment horizontal="center" vertical="center"/>
      <protection/>
    </xf>
    <xf numFmtId="1" fontId="19" fillId="34" borderId="14" xfId="0" applyNumberFormat="1" applyFont="1" applyFill="1" applyBorder="1" applyAlignment="1">
      <alignment horizontal="right" vertical="center"/>
    </xf>
    <xf numFmtId="0" fontId="8" fillId="34" borderId="0" xfId="51" applyFont="1" applyFill="1">
      <alignment/>
      <protection/>
    </xf>
    <xf numFmtId="0" fontId="6" fillId="34" borderId="17" xfId="51" applyFont="1" applyFill="1" applyBorder="1" applyAlignment="1">
      <alignment horizontal="center" vertical="center"/>
      <protection/>
    </xf>
    <xf numFmtId="0" fontId="2" fillId="34" borderId="12" xfId="51" applyFont="1" applyFill="1" applyBorder="1" applyAlignment="1">
      <alignment vertical="center" wrapText="1"/>
      <protection/>
    </xf>
    <xf numFmtId="3" fontId="6" fillId="34" borderId="31" xfId="0" applyNumberFormat="1" applyFont="1" applyFill="1" applyBorder="1" applyAlignment="1">
      <alignment vertical="center"/>
    </xf>
    <xf numFmtId="0" fontId="4" fillId="34" borderId="10" xfId="51" applyFont="1" applyFill="1" applyBorder="1" applyAlignment="1">
      <alignment vertical="center" wrapText="1"/>
      <protection/>
    </xf>
    <xf numFmtId="3" fontId="17" fillId="34" borderId="31" xfId="0" applyNumberFormat="1" applyFont="1" applyFill="1" applyBorder="1" applyAlignment="1">
      <alignment vertical="center"/>
    </xf>
    <xf numFmtId="0" fontId="6" fillId="34" borderId="0" xfId="51" applyFont="1" applyFill="1">
      <alignment/>
      <protection/>
    </xf>
    <xf numFmtId="0" fontId="2" fillId="34" borderId="10" xfId="51" applyFont="1" applyFill="1" applyBorder="1" applyAlignment="1">
      <alignment vertical="center" wrapText="1"/>
      <protection/>
    </xf>
    <xf numFmtId="0" fontId="6" fillId="0" borderId="54" xfId="51" applyFont="1" applyFill="1" applyBorder="1" applyAlignment="1">
      <alignment horizontal="center"/>
      <protection/>
    </xf>
    <xf numFmtId="0" fontId="6" fillId="0" borderId="51" xfId="51" applyFont="1" applyBorder="1" applyAlignment="1">
      <alignment horizontal="center" vertical="center"/>
      <protection/>
    </xf>
    <xf numFmtId="0" fontId="6" fillId="0" borderId="55" xfId="51" applyFont="1" applyBorder="1" applyAlignment="1">
      <alignment horizontal="center" vertical="center"/>
      <protection/>
    </xf>
    <xf numFmtId="0" fontId="8" fillId="0" borderId="51" xfId="51" applyFont="1" applyBorder="1" applyAlignment="1">
      <alignment horizontal="center" vertical="center"/>
      <protection/>
    </xf>
    <xf numFmtId="0" fontId="8" fillId="0" borderId="55" xfId="51" applyFont="1" applyBorder="1" applyAlignment="1">
      <alignment horizontal="center" vertical="center"/>
      <protection/>
    </xf>
    <xf numFmtId="0" fontId="8" fillId="0" borderId="56" xfId="51" applyFont="1" applyBorder="1" applyAlignment="1">
      <alignment horizontal="center" vertical="center"/>
      <protection/>
    </xf>
    <xf numFmtId="0" fontId="16" fillId="0" borderId="0" xfId="0" applyFont="1" applyAlignment="1">
      <alignment horizontal="left" wrapText="1"/>
    </xf>
    <xf numFmtId="0" fontId="7" fillId="0" borderId="16" xfId="51" applyFont="1" applyBorder="1" applyAlignment="1">
      <alignment horizontal="center" vertical="center"/>
      <protection/>
    </xf>
    <xf numFmtId="0" fontId="7" fillId="0" borderId="57" xfId="51" applyFont="1" applyBorder="1" applyAlignment="1">
      <alignment horizontal="center" vertical="center"/>
      <protection/>
    </xf>
    <xf numFmtId="0" fontId="0" fillId="0" borderId="58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Prognoza i kredyty-tabele 200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"/>
  <sheetViews>
    <sheetView showGridLines="0" tabSelected="1" view="pageBreakPreview" zoomScale="80" zoomScaleNormal="75" zoomScaleSheetLayoutView="80" zoomScalePageLayoutView="0" workbookViewId="0" topLeftCell="A1">
      <pane ySplit="5" topLeftCell="A6" activePane="bottomLeft" state="frozen"/>
      <selection pane="topLeft" activeCell="A1" sqref="A1"/>
      <selection pane="bottomLeft" activeCell="I68" sqref="I68"/>
    </sheetView>
  </sheetViews>
  <sheetFormatPr defaultColWidth="9.140625" defaultRowHeight="12.75"/>
  <cols>
    <col min="1" max="1" width="3.8515625" style="1" customWidth="1"/>
    <col min="2" max="2" width="65.7109375" style="2" customWidth="1"/>
    <col min="3" max="4" width="15.7109375" style="2" customWidth="1"/>
    <col min="5" max="5" width="16.7109375" style="2" customWidth="1"/>
    <col min="6" max="17" width="15.7109375" style="2" customWidth="1"/>
    <col min="18" max="16384" width="9.140625" style="2" customWidth="1"/>
  </cols>
  <sheetData>
    <row r="1" spans="1:8" ht="47.25" customHeight="1">
      <c r="A1" s="43"/>
      <c r="B1"/>
      <c r="C1"/>
      <c r="D1" s="150"/>
      <c r="E1" s="150"/>
      <c r="F1" s="103"/>
      <c r="G1" s="44"/>
      <c r="H1" s="44"/>
    </row>
    <row r="2" spans="1:14" ht="100.5" customHeight="1">
      <c r="A2" s="43"/>
      <c r="B2" s="154" t="s">
        <v>96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</row>
    <row r="3" spans="2:4" ht="14.25" customHeight="1" thickBot="1">
      <c r="B3" s="3"/>
      <c r="C3" s="3"/>
      <c r="D3" s="41" t="s">
        <v>4</v>
      </c>
    </row>
    <row r="4" spans="1:17" ht="44.25" customHeight="1" thickBot="1">
      <c r="A4" s="39" t="s">
        <v>0</v>
      </c>
      <c r="B4" s="36" t="s">
        <v>1</v>
      </c>
      <c r="C4" s="151" t="s">
        <v>2</v>
      </c>
      <c r="D4" s="152"/>
      <c r="E4" s="153"/>
      <c r="F4" s="151" t="s">
        <v>3</v>
      </c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spans="1:17" ht="24.75" customHeight="1" thickBot="1">
      <c r="A5" s="38"/>
      <c r="B5" s="37"/>
      <c r="C5" s="42" t="s">
        <v>5</v>
      </c>
      <c r="D5" s="42" t="s">
        <v>13</v>
      </c>
      <c r="E5" s="104" t="s">
        <v>76</v>
      </c>
      <c r="F5" s="42" t="s">
        <v>53</v>
      </c>
      <c r="G5" s="42" t="s">
        <v>63</v>
      </c>
      <c r="H5" s="42" t="s">
        <v>66</v>
      </c>
      <c r="I5" s="42" t="s">
        <v>67</v>
      </c>
      <c r="J5" s="42" t="s">
        <v>68</v>
      </c>
      <c r="K5" s="42" t="s">
        <v>69</v>
      </c>
      <c r="L5" s="42" t="s">
        <v>70</v>
      </c>
      <c r="M5" s="42" t="s">
        <v>71</v>
      </c>
      <c r="N5" s="42" t="s">
        <v>72</v>
      </c>
      <c r="O5" s="42" t="s">
        <v>93</v>
      </c>
      <c r="P5" s="42" t="s">
        <v>94</v>
      </c>
      <c r="Q5" s="42" t="s">
        <v>95</v>
      </c>
    </row>
    <row r="6" spans="1:17" s="4" customFormat="1" ht="32.25" customHeight="1" thickBot="1">
      <c r="A6" s="17">
        <v>1</v>
      </c>
      <c r="B6" s="24" t="s">
        <v>80</v>
      </c>
      <c r="C6" s="46">
        <f aca="true" t="shared" si="0" ref="C6:M6">SUM(C7:C8)</f>
        <v>11807342</v>
      </c>
      <c r="D6" s="46">
        <f t="shared" si="0"/>
        <v>14029985</v>
      </c>
      <c r="E6" s="46">
        <f t="shared" si="0"/>
        <v>10627634</v>
      </c>
      <c r="F6" s="46">
        <f t="shared" si="0"/>
        <v>14194000</v>
      </c>
      <c r="G6" s="46">
        <f t="shared" si="0"/>
        <v>19132000</v>
      </c>
      <c r="H6" s="46">
        <f t="shared" si="0"/>
        <v>20665000</v>
      </c>
      <c r="I6" s="46">
        <f t="shared" si="0"/>
        <v>14407268</v>
      </c>
      <c r="J6" s="46">
        <f t="shared" si="0"/>
        <v>15114671</v>
      </c>
      <c r="K6" s="46">
        <f t="shared" si="0"/>
        <v>15703257.84</v>
      </c>
      <c r="L6" s="46">
        <f t="shared" si="0"/>
        <v>16568420.732</v>
      </c>
      <c r="M6" s="46">
        <f t="shared" si="0"/>
        <v>17332525.975920003</v>
      </c>
      <c r="N6" s="46">
        <f>SUM(N7:N8)</f>
        <v>18213827.014956802</v>
      </c>
      <c r="O6" s="46">
        <f>SUM(O7:O8)</f>
        <v>18922380.095555075</v>
      </c>
      <c r="P6" s="46">
        <f>SUM(P7:P8)</f>
        <v>19659275.299377277</v>
      </c>
      <c r="Q6" s="46">
        <f>SUM(Q7:Q8)</f>
        <v>20425646.31135237</v>
      </c>
    </row>
    <row r="7" spans="1:17" s="4" customFormat="1" ht="16.5">
      <c r="A7" s="19">
        <v>2</v>
      </c>
      <c r="B7" s="9" t="s">
        <v>77</v>
      </c>
      <c r="C7" s="69">
        <v>11589088</v>
      </c>
      <c r="D7" s="49">
        <v>13140171</v>
      </c>
      <c r="E7" s="47">
        <v>10516085</v>
      </c>
      <c r="F7" s="47">
        <v>13394000</v>
      </c>
      <c r="G7" s="47">
        <v>12656164</v>
      </c>
      <c r="H7" s="47">
        <f>13765000</f>
        <v>13765000</v>
      </c>
      <c r="I7" s="47">
        <v>13907268</v>
      </c>
      <c r="J7" s="47">
        <v>14714671</v>
      </c>
      <c r="K7" s="47">
        <f>J7*1.04</f>
        <v>15303257.84</v>
      </c>
      <c r="L7" s="47">
        <f>K7*1.05</f>
        <v>16068420.732</v>
      </c>
      <c r="M7" s="47">
        <f>L7*1.06</f>
        <v>17032525.975920003</v>
      </c>
      <c r="N7" s="47">
        <f>M7*1.04</f>
        <v>17713827.014956802</v>
      </c>
      <c r="O7" s="47">
        <f>N7*1.04</f>
        <v>18422380.095555075</v>
      </c>
      <c r="P7" s="47">
        <f>O7*1.04</f>
        <v>19159275.299377277</v>
      </c>
      <c r="Q7" s="47">
        <f>P7*1.04</f>
        <v>19925646.31135237</v>
      </c>
    </row>
    <row r="8" spans="1:17" s="4" customFormat="1" ht="16.5">
      <c r="A8" s="20">
        <v>3</v>
      </c>
      <c r="B8" s="6" t="s">
        <v>25</v>
      </c>
      <c r="C8" s="105">
        <v>218254</v>
      </c>
      <c r="D8" s="106">
        <v>889814</v>
      </c>
      <c r="E8" s="50">
        <v>111549</v>
      </c>
      <c r="F8" s="50">
        <v>800000</v>
      </c>
      <c r="G8" s="50">
        <v>6475836</v>
      </c>
      <c r="H8" s="50">
        <v>6900000</v>
      </c>
      <c r="I8" s="50">
        <v>500000</v>
      </c>
      <c r="J8" s="50">
        <v>400000</v>
      </c>
      <c r="K8" s="50">
        <v>400000</v>
      </c>
      <c r="L8" s="50">
        <v>500000</v>
      </c>
      <c r="M8" s="50">
        <v>300000</v>
      </c>
      <c r="N8" s="50">
        <v>500000</v>
      </c>
      <c r="O8" s="50">
        <v>500000</v>
      </c>
      <c r="P8" s="50">
        <v>500000</v>
      </c>
      <c r="Q8" s="50">
        <v>500000</v>
      </c>
    </row>
    <row r="9" spans="1:17" s="4" customFormat="1" ht="17.25" thickBot="1">
      <c r="A9" s="107">
        <v>4</v>
      </c>
      <c r="B9" s="108" t="s">
        <v>79</v>
      </c>
      <c r="C9" s="70">
        <v>216990</v>
      </c>
      <c r="D9" s="85">
        <v>243488</v>
      </c>
      <c r="E9" s="102">
        <v>109213</v>
      </c>
      <c r="F9" s="102">
        <v>145000</v>
      </c>
      <c r="G9" s="102">
        <v>123500</v>
      </c>
      <c r="H9" s="102">
        <v>180000</v>
      </c>
      <c r="I9" s="102">
        <v>200000</v>
      </c>
      <c r="J9" s="102">
        <v>200000</v>
      </c>
      <c r="K9" s="102">
        <v>200000</v>
      </c>
      <c r="L9" s="102">
        <v>300000</v>
      </c>
      <c r="M9" s="102">
        <v>200000</v>
      </c>
      <c r="N9" s="102">
        <v>200000</v>
      </c>
      <c r="O9" s="102">
        <v>200000</v>
      </c>
      <c r="P9" s="102">
        <v>200000</v>
      </c>
      <c r="Q9" s="102">
        <v>200000</v>
      </c>
    </row>
    <row r="10" spans="1:17" s="4" customFormat="1" ht="32.25" customHeight="1" thickBot="1">
      <c r="A10" s="17">
        <v>5</v>
      </c>
      <c r="B10" s="24" t="s">
        <v>14</v>
      </c>
      <c r="C10" s="46">
        <f aca="true" t="shared" si="1" ref="C10:M10">SUM(C11:C12)</f>
        <v>11434771</v>
      </c>
      <c r="D10" s="46">
        <f t="shared" si="1"/>
        <v>14020213</v>
      </c>
      <c r="E10" s="46">
        <f t="shared" si="1"/>
        <v>10131670</v>
      </c>
      <c r="F10" s="46">
        <f t="shared" si="1"/>
        <v>15746578</v>
      </c>
      <c r="G10" s="46">
        <f t="shared" si="1"/>
        <v>25614000</v>
      </c>
      <c r="H10" s="46">
        <f t="shared" si="1"/>
        <v>19500000</v>
      </c>
      <c r="I10" s="46">
        <f t="shared" si="1"/>
        <v>13701496</v>
      </c>
      <c r="J10" s="46">
        <f t="shared" si="1"/>
        <v>13830800</v>
      </c>
      <c r="K10" s="46">
        <f t="shared" si="1"/>
        <v>15003258</v>
      </c>
      <c r="L10" s="46">
        <f t="shared" si="1"/>
        <v>15768421</v>
      </c>
      <c r="M10" s="46">
        <f t="shared" si="1"/>
        <v>16577526</v>
      </c>
      <c r="N10" s="46">
        <f>SUM(N11:N12)</f>
        <v>17613827.340000004</v>
      </c>
      <c r="O10" s="46">
        <f>SUM(O11:O12)</f>
        <v>18322380.120400004</v>
      </c>
      <c r="P10" s="46">
        <f>SUM(P11:P12)</f>
        <v>19059275.627624005</v>
      </c>
      <c r="Q10" s="46">
        <f>SUM(Q11:Q12)</f>
        <v>19522646</v>
      </c>
    </row>
    <row r="11" spans="1:17" s="5" customFormat="1" ht="15">
      <c r="A11" s="21">
        <v>6</v>
      </c>
      <c r="B11" s="9" t="s">
        <v>78</v>
      </c>
      <c r="C11" s="71">
        <v>10337306</v>
      </c>
      <c r="D11" s="48">
        <v>11662817</v>
      </c>
      <c r="E11" s="47">
        <v>9295848</v>
      </c>
      <c r="F11" s="47">
        <v>13296578</v>
      </c>
      <c r="G11" s="47">
        <v>13604053</v>
      </c>
      <c r="H11" s="47">
        <v>12000000</v>
      </c>
      <c r="I11" s="47">
        <f>H11*1.03</f>
        <v>12360000</v>
      </c>
      <c r="J11" s="47">
        <f>I11*1.03</f>
        <v>12730800</v>
      </c>
      <c r="K11" s="47">
        <f>13412724</f>
        <v>13412724</v>
      </c>
      <c r="L11" s="47">
        <v>14206106</v>
      </c>
      <c r="M11" s="47">
        <v>14714289</v>
      </c>
      <c r="N11" s="47">
        <f>M11*1.06</f>
        <v>15597146.340000002</v>
      </c>
      <c r="O11" s="47">
        <f>N11*1.06</f>
        <v>16532975.120400002</v>
      </c>
      <c r="P11" s="47">
        <f>O11*1.06</f>
        <v>17524953.627624005</v>
      </c>
      <c r="Q11" s="47">
        <f>18050000</f>
        <v>18050000</v>
      </c>
    </row>
    <row r="12" spans="1:17" s="5" customFormat="1" ht="15.75" thickBot="1">
      <c r="A12" s="20">
        <v>7</v>
      </c>
      <c r="B12" s="6" t="s">
        <v>15</v>
      </c>
      <c r="C12" s="72">
        <v>1097465</v>
      </c>
      <c r="D12" s="49">
        <v>2357396</v>
      </c>
      <c r="E12" s="50">
        <v>835822</v>
      </c>
      <c r="F12" s="50">
        <v>2450000</v>
      </c>
      <c r="G12" s="50">
        <v>12009947</v>
      </c>
      <c r="H12" s="50">
        <v>7500000</v>
      </c>
      <c r="I12" s="50">
        <v>1341496</v>
      </c>
      <c r="J12" s="50">
        <v>1100000</v>
      </c>
      <c r="K12" s="50">
        <v>1590534</v>
      </c>
      <c r="L12" s="50">
        <v>1562315</v>
      </c>
      <c r="M12" s="50">
        <v>1863237</v>
      </c>
      <c r="N12" s="50">
        <v>2016681</v>
      </c>
      <c r="O12" s="50">
        <v>1789405</v>
      </c>
      <c r="P12" s="50">
        <v>1534322</v>
      </c>
      <c r="Q12" s="50">
        <v>1472646</v>
      </c>
    </row>
    <row r="13" spans="1:17" s="5" customFormat="1" ht="17.25" thickBot="1">
      <c r="A13" s="18">
        <v>8</v>
      </c>
      <c r="B13" s="22" t="s">
        <v>16</v>
      </c>
      <c r="C13" s="66">
        <f aca="true" t="shared" si="2" ref="C13:M13">C6-C10</f>
        <v>372571</v>
      </c>
      <c r="D13" s="66">
        <f t="shared" si="2"/>
        <v>9772</v>
      </c>
      <c r="E13" s="66">
        <f t="shared" si="2"/>
        <v>495964</v>
      </c>
      <c r="F13" s="66">
        <f>F6-F10</f>
        <v>-1552578</v>
      </c>
      <c r="G13" s="66">
        <f t="shared" si="2"/>
        <v>-6482000</v>
      </c>
      <c r="H13" s="66">
        <f t="shared" si="2"/>
        <v>1165000</v>
      </c>
      <c r="I13" s="66">
        <f t="shared" si="2"/>
        <v>705772</v>
      </c>
      <c r="J13" s="66">
        <f t="shared" si="2"/>
        <v>1283871</v>
      </c>
      <c r="K13" s="66">
        <f t="shared" si="2"/>
        <v>699999.8399999999</v>
      </c>
      <c r="L13" s="66">
        <f t="shared" si="2"/>
        <v>799999.7320000008</v>
      </c>
      <c r="M13" s="66">
        <f t="shared" si="2"/>
        <v>754999.9759200029</v>
      </c>
      <c r="N13" s="66">
        <f>N6-N10</f>
        <v>599999.6749567986</v>
      </c>
      <c r="O13" s="66">
        <f>O6-O10</f>
        <v>599999.9751550704</v>
      </c>
      <c r="P13" s="66">
        <f>P6-P10</f>
        <v>599999.6717532724</v>
      </c>
      <c r="Q13" s="66">
        <f>Q6-Q10</f>
        <v>903000.3113523684</v>
      </c>
    </row>
    <row r="14" spans="1:17" s="5" customFormat="1" ht="17.25" thickBot="1">
      <c r="A14" s="18">
        <v>9</v>
      </c>
      <c r="B14" s="22" t="s">
        <v>17</v>
      </c>
      <c r="C14" s="67">
        <f aca="true" t="shared" si="3" ref="C14:N14">C15-C28</f>
        <v>887785</v>
      </c>
      <c r="D14" s="67">
        <f t="shared" si="3"/>
        <v>1018806</v>
      </c>
      <c r="E14" s="67">
        <f t="shared" si="3"/>
        <v>793581</v>
      </c>
      <c r="F14" s="67">
        <f t="shared" si="3"/>
        <v>1552578</v>
      </c>
      <c r="G14" s="67">
        <f t="shared" si="3"/>
        <v>6482000</v>
      </c>
      <c r="H14" s="67">
        <f t="shared" si="3"/>
        <v>-1165000</v>
      </c>
      <c r="I14" s="67">
        <f t="shared" si="3"/>
        <v>-705772</v>
      </c>
      <c r="J14" s="67">
        <f t="shared" si="3"/>
        <v>-1283871</v>
      </c>
      <c r="K14" s="67">
        <f t="shared" si="3"/>
        <v>-700000</v>
      </c>
      <c r="L14" s="67">
        <f t="shared" si="3"/>
        <v>-800000.1600000001</v>
      </c>
      <c r="M14" s="67">
        <f t="shared" si="3"/>
        <v>-755000.4279999994</v>
      </c>
      <c r="N14" s="67">
        <f t="shared" si="3"/>
        <v>-600000.4520799965</v>
      </c>
      <c r="O14" s="67">
        <f>O15-O28</f>
        <v>-600000</v>
      </c>
      <c r="P14" s="67">
        <f>P15-P28</f>
        <v>-600000.0248449296</v>
      </c>
      <c r="Q14" s="67">
        <f>Q15-Q28</f>
        <v>-903000.3530916572</v>
      </c>
    </row>
    <row r="15" spans="1:17" s="5" customFormat="1" ht="32.25" customHeight="1" thickBot="1">
      <c r="A15" s="17">
        <v>10</v>
      </c>
      <c r="B15" s="23" t="s">
        <v>43</v>
      </c>
      <c r="C15" s="55">
        <f aca="true" t="shared" si="4" ref="C15:N15">SUM(C16,C18,C20,C21,C23,C25,C26)</f>
        <v>1140062</v>
      </c>
      <c r="D15" s="55">
        <f t="shared" si="4"/>
        <v>1260355</v>
      </c>
      <c r="E15" s="55">
        <f t="shared" si="4"/>
        <v>1028578</v>
      </c>
      <c r="F15" s="55">
        <f t="shared" si="4"/>
        <v>1828578</v>
      </c>
      <c r="G15" s="55">
        <f t="shared" si="4"/>
        <v>6758000</v>
      </c>
      <c r="H15" s="55">
        <f t="shared" si="4"/>
        <v>0</v>
      </c>
      <c r="I15" s="55">
        <f t="shared" si="4"/>
        <v>0</v>
      </c>
      <c r="J15" s="55">
        <f t="shared" si="4"/>
        <v>0</v>
      </c>
      <c r="K15" s="55">
        <f t="shared" si="4"/>
        <v>0</v>
      </c>
      <c r="L15" s="55">
        <f t="shared" si="4"/>
        <v>-0.1600000001490116</v>
      </c>
      <c r="M15" s="55">
        <f t="shared" si="4"/>
        <v>-0.42799999937415123</v>
      </c>
      <c r="N15" s="55">
        <f t="shared" si="4"/>
        <v>-0.45207999646663666</v>
      </c>
      <c r="O15" s="55">
        <f>SUM(O16,O18,O20,O21,O23,O25,O26)</f>
        <v>0</v>
      </c>
      <c r="P15" s="55">
        <f>SUM(P16,P18,P20,P21,P23,P25,P26)</f>
        <v>-0.024844929575920105</v>
      </c>
      <c r="Q15" s="55">
        <f>SUM(Q16,Q18,Q20,Q21,Q23,Q25,Q26)</f>
        <v>-0.35309165716171265</v>
      </c>
    </row>
    <row r="16" spans="1:17" s="5" customFormat="1" ht="31.5">
      <c r="A16" s="21">
        <v>11</v>
      </c>
      <c r="B16" s="8" t="s">
        <v>28</v>
      </c>
      <c r="C16" s="51"/>
      <c r="D16" s="52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</row>
    <row r="17" spans="1:17" s="5" customFormat="1" ht="25.5">
      <c r="A17" s="21">
        <v>12</v>
      </c>
      <c r="B17" s="31" t="s">
        <v>60</v>
      </c>
      <c r="C17" s="54"/>
      <c r="D17" s="5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</row>
    <row r="18" spans="1:17" s="5" customFormat="1" ht="31.5">
      <c r="A18" s="21">
        <v>13</v>
      </c>
      <c r="B18" s="27" t="s">
        <v>33</v>
      </c>
      <c r="C18" s="54"/>
      <c r="D18" s="53"/>
      <c r="E18" s="53"/>
      <c r="F18" s="53"/>
      <c r="G18" s="53">
        <v>755000</v>
      </c>
      <c r="H18" s="53"/>
      <c r="I18" s="53"/>
      <c r="J18" s="53"/>
      <c r="K18" s="53"/>
      <c r="L18" s="53"/>
      <c r="M18" s="53"/>
      <c r="N18" s="53"/>
      <c r="O18" s="53"/>
      <c r="P18" s="53"/>
      <c r="Q18" s="53"/>
    </row>
    <row r="19" spans="1:17" s="5" customFormat="1" ht="25.5">
      <c r="A19" s="21">
        <v>14</v>
      </c>
      <c r="B19" s="31" t="s">
        <v>59</v>
      </c>
      <c r="C19" s="54"/>
      <c r="D19" s="53"/>
      <c r="E19" s="53"/>
      <c r="F19" s="53"/>
      <c r="G19" s="53">
        <v>755000</v>
      </c>
      <c r="H19" s="53"/>
      <c r="I19" s="53"/>
      <c r="J19" s="53"/>
      <c r="K19" s="53"/>
      <c r="L19" s="53"/>
      <c r="M19" s="53"/>
      <c r="N19" s="53"/>
      <c r="O19" s="53"/>
      <c r="P19" s="53"/>
      <c r="Q19" s="53"/>
    </row>
    <row r="20" spans="1:17" s="5" customFormat="1" ht="15.75">
      <c r="A20" s="21">
        <v>15</v>
      </c>
      <c r="B20" s="28" t="s">
        <v>29</v>
      </c>
      <c r="C20" s="51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</row>
    <row r="21" spans="1:17" s="5" customFormat="1" ht="31.5">
      <c r="A21" s="21">
        <v>16</v>
      </c>
      <c r="B21" s="28" t="s">
        <v>30</v>
      </c>
      <c r="C21" s="99">
        <v>1110462</v>
      </c>
      <c r="D21" s="53">
        <v>1230755</v>
      </c>
      <c r="E21" s="53">
        <v>998978</v>
      </c>
      <c r="F21" s="53">
        <v>998978</v>
      </c>
      <c r="G21" s="53">
        <f>SUM(F13:F14)</f>
        <v>0</v>
      </c>
      <c r="H21" s="53">
        <f>SUM(G13:G14)</f>
        <v>0</v>
      </c>
      <c r="I21" s="53">
        <f aca="true" t="shared" si="5" ref="I21:N21">SUM(H13:H14)</f>
        <v>0</v>
      </c>
      <c r="J21" s="53">
        <f t="shared" si="5"/>
        <v>0</v>
      </c>
      <c r="K21" s="53">
        <f t="shared" si="5"/>
        <v>0</v>
      </c>
      <c r="L21" s="53">
        <f t="shared" si="5"/>
        <v>-0.1600000001490116</v>
      </c>
      <c r="M21" s="53">
        <f t="shared" si="5"/>
        <v>-0.42799999937415123</v>
      </c>
      <c r="N21" s="53">
        <f t="shared" si="5"/>
        <v>-0.45207999646663666</v>
      </c>
      <c r="O21" s="53">
        <v>0</v>
      </c>
      <c r="P21" s="53">
        <f>SUM(O13:O14)</f>
        <v>-0.024844929575920105</v>
      </c>
      <c r="Q21" s="53">
        <f>SUM(P13:P14)</f>
        <v>-0.35309165716171265</v>
      </c>
    </row>
    <row r="22" spans="1:17" s="5" customFormat="1" ht="15">
      <c r="A22" s="21">
        <v>17</v>
      </c>
      <c r="B22" s="31" t="s">
        <v>50</v>
      </c>
      <c r="C22" s="54"/>
      <c r="D22" s="53"/>
      <c r="E22" s="53"/>
      <c r="F22" s="53">
        <v>752578</v>
      </c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</row>
    <row r="23" spans="1:17" s="5" customFormat="1" ht="47.25">
      <c r="A23" s="21">
        <v>18</v>
      </c>
      <c r="B23" s="8" t="s">
        <v>26</v>
      </c>
      <c r="C23" s="54"/>
      <c r="D23" s="53"/>
      <c r="E23" s="53">
        <v>0</v>
      </c>
      <c r="F23" s="53">
        <v>800000</v>
      </c>
      <c r="G23" s="53">
        <v>6003000</v>
      </c>
      <c r="H23" s="53"/>
      <c r="I23" s="53"/>
      <c r="J23" s="53"/>
      <c r="K23" s="53"/>
      <c r="L23" s="53"/>
      <c r="M23" s="53"/>
      <c r="N23" s="53"/>
      <c r="O23" s="53"/>
      <c r="P23" s="53"/>
      <c r="Q23" s="53"/>
    </row>
    <row r="24" spans="1:17" s="5" customFormat="1" ht="25.5">
      <c r="A24" s="21">
        <v>19</v>
      </c>
      <c r="B24" s="31" t="s">
        <v>58</v>
      </c>
      <c r="C24" s="54"/>
      <c r="D24" s="53"/>
      <c r="E24" s="53">
        <v>0</v>
      </c>
      <c r="F24" s="53">
        <v>0</v>
      </c>
      <c r="G24" s="53">
        <v>1971683</v>
      </c>
      <c r="H24" s="53"/>
      <c r="I24" s="53"/>
      <c r="J24" s="53"/>
      <c r="K24" s="53"/>
      <c r="L24" s="53"/>
      <c r="M24" s="53"/>
      <c r="N24" s="53"/>
      <c r="O24" s="53"/>
      <c r="P24" s="53"/>
      <c r="Q24" s="53"/>
    </row>
    <row r="25" spans="1:17" s="5" customFormat="1" ht="15.75">
      <c r="A25" s="21">
        <v>20</v>
      </c>
      <c r="B25" s="8" t="s">
        <v>18</v>
      </c>
      <c r="C25" s="54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s="5" customFormat="1" ht="31.5">
      <c r="A26" s="21">
        <v>21</v>
      </c>
      <c r="B26" s="8" t="s">
        <v>19</v>
      </c>
      <c r="C26" s="100">
        <v>29600</v>
      </c>
      <c r="D26" s="53">
        <v>29600</v>
      </c>
      <c r="E26" s="53">
        <v>29600</v>
      </c>
      <c r="F26" s="53">
        <v>29600</v>
      </c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</row>
    <row r="27" spans="1:17" s="5" customFormat="1" ht="15.75" thickBot="1">
      <c r="A27" s="20">
        <v>22</v>
      </c>
      <c r="B27" s="31" t="s">
        <v>23</v>
      </c>
      <c r="C27" s="101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</row>
    <row r="28" spans="1:17" s="5" customFormat="1" ht="33.75" thickBot="1">
      <c r="A28" s="17">
        <v>23</v>
      </c>
      <c r="B28" s="23" t="s">
        <v>44</v>
      </c>
      <c r="C28" s="55">
        <f aca="true" t="shared" si="6" ref="C28:N28">SUM(C29,C31,C35:C37,C42)</f>
        <v>252277</v>
      </c>
      <c r="D28" s="55">
        <f t="shared" si="6"/>
        <v>241549</v>
      </c>
      <c r="E28" s="55">
        <f t="shared" si="6"/>
        <v>234997</v>
      </c>
      <c r="F28" s="55">
        <f t="shared" si="6"/>
        <v>276000</v>
      </c>
      <c r="G28" s="55">
        <f t="shared" si="6"/>
        <v>276000</v>
      </c>
      <c r="H28" s="55">
        <f t="shared" si="6"/>
        <v>1165000</v>
      </c>
      <c r="I28" s="55">
        <f t="shared" si="6"/>
        <v>705772</v>
      </c>
      <c r="J28" s="55">
        <f t="shared" si="6"/>
        <v>1283871</v>
      </c>
      <c r="K28" s="55">
        <f t="shared" si="6"/>
        <v>700000</v>
      </c>
      <c r="L28" s="55">
        <f t="shared" si="6"/>
        <v>800000</v>
      </c>
      <c r="M28" s="55">
        <f t="shared" si="6"/>
        <v>755000</v>
      </c>
      <c r="N28" s="55">
        <f t="shared" si="6"/>
        <v>600000</v>
      </c>
      <c r="O28" s="55">
        <f>SUM(O29,O31,O35:O37,O42)</f>
        <v>600000</v>
      </c>
      <c r="P28" s="55">
        <f>SUM(P29,P31,P35:P37,P42)</f>
        <v>600000</v>
      </c>
      <c r="Q28" s="55">
        <f>SUM(Q29,Q31,Q35:Q37,Q42)</f>
        <v>903000</v>
      </c>
    </row>
    <row r="29" spans="1:17" s="5" customFormat="1" ht="31.5">
      <c r="A29" s="19">
        <v>24</v>
      </c>
      <c r="B29" s="8" t="s">
        <v>32</v>
      </c>
      <c r="C29" s="73">
        <v>168277</v>
      </c>
      <c r="D29" s="52">
        <v>157549</v>
      </c>
      <c r="E29" s="53">
        <v>150997</v>
      </c>
      <c r="F29" s="53">
        <v>192000</v>
      </c>
      <c r="G29" s="53">
        <v>192000</v>
      </c>
      <c r="H29" s="53">
        <v>181000</v>
      </c>
      <c r="I29" s="53">
        <v>171000</v>
      </c>
      <c r="J29" s="53">
        <v>83871</v>
      </c>
      <c r="K29" s="53"/>
      <c r="L29" s="53"/>
      <c r="M29" s="53"/>
      <c r="N29" s="53"/>
      <c r="O29" s="53"/>
      <c r="P29" s="53"/>
      <c r="Q29" s="53"/>
    </row>
    <row r="30" spans="1:17" s="5" customFormat="1" ht="25.5">
      <c r="A30" s="20">
        <v>25</v>
      </c>
      <c r="B30" s="31" t="s">
        <v>57</v>
      </c>
      <c r="C30" s="54"/>
      <c r="D30" s="52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1:17" s="4" customFormat="1" ht="31.5">
      <c r="A31" s="7">
        <v>26</v>
      </c>
      <c r="B31" s="29" t="s">
        <v>34</v>
      </c>
      <c r="C31" s="73">
        <v>84000</v>
      </c>
      <c r="D31" s="52">
        <v>84000</v>
      </c>
      <c r="E31" s="53">
        <v>84000</v>
      </c>
      <c r="F31" s="50">
        <v>84000</v>
      </c>
      <c r="G31" s="123">
        <v>84000</v>
      </c>
      <c r="H31" s="84">
        <f>H32+H33</f>
        <v>184000</v>
      </c>
      <c r="I31" s="84">
        <f aca="true" t="shared" si="7" ref="I31:N31">I32+I33</f>
        <v>134772</v>
      </c>
      <c r="J31" s="84">
        <f t="shared" si="7"/>
        <v>100000</v>
      </c>
      <c r="K31" s="84">
        <f t="shared" si="7"/>
        <v>100000</v>
      </c>
      <c r="L31" s="84">
        <f t="shared" si="7"/>
        <v>200000</v>
      </c>
      <c r="M31" s="84">
        <f t="shared" si="7"/>
        <v>155000</v>
      </c>
      <c r="N31" s="84">
        <f t="shared" si="7"/>
        <v>0</v>
      </c>
      <c r="O31" s="84">
        <v>0</v>
      </c>
      <c r="P31" s="84">
        <v>0</v>
      </c>
      <c r="Q31" s="84">
        <v>0</v>
      </c>
    </row>
    <row r="32" spans="1:17" s="136" customFormat="1" ht="16.5" hidden="1">
      <c r="A32" s="128"/>
      <c r="B32" s="129"/>
      <c r="C32" s="130"/>
      <c r="D32" s="131"/>
      <c r="E32" s="132"/>
      <c r="F32" s="133"/>
      <c r="G32" s="134"/>
      <c r="H32" s="135">
        <v>84000</v>
      </c>
      <c r="I32" s="135">
        <v>34772</v>
      </c>
      <c r="J32" s="132"/>
      <c r="K32" s="132"/>
      <c r="L32" s="132"/>
      <c r="M32" s="132"/>
      <c r="N32" s="132"/>
      <c r="O32" s="132"/>
      <c r="P32" s="132"/>
      <c r="Q32" s="132"/>
    </row>
    <row r="33" spans="1:17" s="4" customFormat="1" ht="25.5">
      <c r="A33" s="21">
        <v>27</v>
      </c>
      <c r="B33" s="68" t="s">
        <v>75</v>
      </c>
      <c r="C33" s="54"/>
      <c r="D33" s="52"/>
      <c r="E33" s="53"/>
      <c r="F33" s="53"/>
      <c r="G33" s="53"/>
      <c r="H33" s="53">
        <v>100000</v>
      </c>
      <c r="I33" s="53">
        <v>100000</v>
      </c>
      <c r="J33" s="53">
        <v>100000</v>
      </c>
      <c r="K33" s="53">
        <v>100000</v>
      </c>
      <c r="L33" s="53">
        <v>200000</v>
      </c>
      <c r="M33" s="53">
        <v>155000</v>
      </c>
      <c r="N33" s="53">
        <v>0</v>
      </c>
      <c r="O33" s="53">
        <v>0</v>
      </c>
      <c r="P33" s="53">
        <v>0</v>
      </c>
      <c r="Q33" s="53">
        <v>0</v>
      </c>
    </row>
    <row r="34" spans="1:17" s="136" customFormat="1" ht="16.5" hidden="1">
      <c r="A34" s="137"/>
      <c r="B34" s="138"/>
      <c r="C34" s="139"/>
      <c r="D34" s="131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</row>
    <row r="35" spans="1:17" s="5" customFormat="1" ht="15.75">
      <c r="A35" s="19">
        <v>29</v>
      </c>
      <c r="B35" s="28" t="s">
        <v>35</v>
      </c>
      <c r="C35" s="51"/>
      <c r="D35" s="52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</row>
    <row r="36" spans="1:17" s="5" customFormat="1" ht="15.75">
      <c r="A36" s="21">
        <v>30</v>
      </c>
      <c r="B36" s="28" t="s">
        <v>31</v>
      </c>
      <c r="C36" s="51"/>
      <c r="D36" s="52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</row>
    <row r="37" spans="1:17" s="5" customFormat="1" ht="31.5">
      <c r="A37" s="21">
        <v>31</v>
      </c>
      <c r="B37" s="8" t="s">
        <v>20</v>
      </c>
      <c r="C37" s="51"/>
      <c r="D37" s="52"/>
      <c r="E37" s="53"/>
      <c r="F37" s="53"/>
      <c r="G37" s="53">
        <v>0</v>
      </c>
      <c r="H37" s="53">
        <f>H38+H39</f>
        <v>800000</v>
      </c>
      <c r="I37" s="53">
        <f aca="true" t="shared" si="8" ref="I37:N37">I38+I39</f>
        <v>400000</v>
      </c>
      <c r="J37" s="53">
        <f t="shared" si="8"/>
        <v>1100000</v>
      </c>
      <c r="K37" s="53">
        <f t="shared" si="8"/>
        <v>600000</v>
      </c>
      <c r="L37" s="53">
        <f t="shared" si="8"/>
        <v>600000</v>
      </c>
      <c r="M37" s="53">
        <f t="shared" si="8"/>
        <v>600000</v>
      </c>
      <c r="N37" s="53">
        <f t="shared" si="8"/>
        <v>600000</v>
      </c>
      <c r="O37" s="53">
        <f>O38+O39</f>
        <v>600000</v>
      </c>
      <c r="P37" s="53">
        <f>P38+P39</f>
        <v>600000</v>
      </c>
      <c r="Q37" s="53">
        <f>Q38+Q39</f>
        <v>903000</v>
      </c>
    </row>
    <row r="38" spans="1:17" s="142" customFormat="1" ht="15.75" hidden="1">
      <c r="A38" s="128"/>
      <c r="B38" s="140" t="s">
        <v>90</v>
      </c>
      <c r="C38" s="141"/>
      <c r="D38" s="131"/>
      <c r="E38" s="132"/>
      <c r="F38" s="132"/>
      <c r="G38" s="132"/>
      <c r="H38" s="132">
        <v>400000</v>
      </c>
      <c r="I38" s="132">
        <v>200000</v>
      </c>
      <c r="J38" s="132">
        <v>200000</v>
      </c>
      <c r="K38" s="132"/>
      <c r="L38" s="132"/>
      <c r="M38" s="132"/>
      <c r="N38" s="132"/>
      <c r="O38" s="132"/>
      <c r="P38" s="132"/>
      <c r="Q38" s="132"/>
    </row>
    <row r="39" spans="1:17" s="142" customFormat="1" ht="15.75" hidden="1">
      <c r="A39" s="128"/>
      <c r="B39" s="140" t="s">
        <v>92</v>
      </c>
      <c r="C39" s="141"/>
      <c r="D39" s="131"/>
      <c r="E39" s="132"/>
      <c r="F39" s="132"/>
      <c r="G39" s="132"/>
      <c r="H39" s="132">
        <v>400000</v>
      </c>
      <c r="I39" s="132">
        <v>200000</v>
      </c>
      <c r="J39" s="132">
        <v>900000</v>
      </c>
      <c r="K39" s="132">
        <v>600000</v>
      </c>
      <c r="L39" s="132">
        <v>600000</v>
      </c>
      <c r="M39" s="132">
        <v>600000</v>
      </c>
      <c r="N39" s="132">
        <v>600000</v>
      </c>
      <c r="O39" s="132">
        <v>600000</v>
      </c>
      <c r="P39" s="132">
        <v>600000</v>
      </c>
      <c r="Q39" s="132">
        <v>903000</v>
      </c>
    </row>
    <row r="40" spans="1:17" s="5" customFormat="1" ht="25.5">
      <c r="A40" s="21">
        <v>32</v>
      </c>
      <c r="B40" s="31" t="s">
        <v>56</v>
      </c>
      <c r="C40" s="54"/>
      <c r="D40" s="52"/>
      <c r="E40" s="53"/>
      <c r="F40" s="53"/>
      <c r="G40" s="53"/>
      <c r="H40" s="53">
        <f>H41</f>
        <v>400000</v>
      </c>
      <c r="I40" s="53">
        <f aca="true" t="shared" si="9" ref="I40:Q40">I41</f>
        <v>200000</v>
      </c>
      <c r="J40" s="53">
        <f t="shared" si="9"/>
        <v>900000</v>
      </c>
      <c r="K40" s="53">
        <f t="shared" si="9"/>
        <v>471683</v>
      </c>
      <c r="L40" s="53">
        <f t="shared" si="9"/>
        <v>0</v>
      </c>
      <c r="M40" s="53">
        <f t="shared" si="9"/>
        <v>0</v>
      </c>
      <c r="N40" s="53">
        <f t="shared" si="9"/>
        <v>0</v>
      </c>
      <c r="O40" s="53">
        <f t="shared" si="9"/>
        <v>0</v>
      </c>
      <c r="P40" s="53">
        <f t="shared" si="9"/>
        <v>0</v>
      </c>
      <c r="Q40" s="53">
        <f t="shared" si="9"/>
        <v>0</v>
      </c>
    </row>
    <row r="41" spans="1:17" s="142" customFormat="1" ht="15" hidden="1">
      <c r="A41" s="128"/>
      <c r="B41" s="143" t="s">
        <v>91</v>
      </c>
      <c r="C41" s="139"/>
      <c r="D41" s="131"/>
      <c r="E41" s="132"/>
      <c r="F41" s="132"/>
      <c r="G41" s="132"/>
      <c r="H41" s="132">
        <v>400000</v>
      </c>
      <c r="I41" s="132">
        <v>200000</v>
      </c>
      <c r="J41" s="132">
        <v>900000</v>
      </c>
      <c r="K41" s="132">
        <v>471683</v>
      </c>
      <c r="L41" s="132"/>
      <c r="M41" s="132"/>
      <c r="N41" s="132"/>
      <c r="O41" s="132"/>
      <c r="P41" s="132"/>
      <c r="Q41" s="132"/>
    </row>
    <row r="42" spans="1:17" s="5" customFormat="1" ht="15.75">
      <c r="A42" s="21">
        <v>33</v>
      </c>
      <c r="B42" s="8" t="s">
        <v>21</v>
      </c>
      <c r="C42" s="51"/>
      <c r="D42" s="52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</row>
    <row r="43" spans="1:17" s="5" customFormat="1" ht="17.25" thickBot="1">
      <c r="A43" s="86">
        <v>34</v>
      </c>
      <c r="B43" s="89" t="s">
        <v>73</v>
      </c>
      <c r="C43" s="88">
        <v>65479</v>
      </c>
      <c r="D43" s="87">
        <v>-99519</v>
      </c>
      <c r="E43" s="88">
        <v>-22570</v>
      </c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1:17" s="4" customFormat="1" ht="33.75" thickBot="1">
      <c r="A44" s="17">
        <v>35</v>
      </c>
      <c r="B44" s="23" t="s">
        <v>40</v>
      </c>
      <c r="C44" s="46">
        <f aca="true" t="shared" si="10" ref="C44:M44">SUM(C45:C49,C52)</f>
        <v>1268002</v>
      </c>
      <c r="D44" s="46">
        <f t="shared" si="10"/>
        <v>1106643</v>
      </c>
      <c r="E44" s="46">
        <f t="shared" si="10"/>
        <v>894216</v>
      </c>
      <c r="F44" s="46">
        <f t="shared" si="10"/>
        <v>1630643</v>
      </c>
      <c r="G44" s="46">
        <f t="shared" si="10"/>
        <v>7712643</v>
      </c>
      <c r="H44" s="46">
        <f t="shared" si="10"/>
        <v>6537621</v>
      </c>
      <c r="I44" s="46">
        <f t="shared" si="10"/>
        <v>6241871</v>
      </c>
      <c r="J44" s="46">
        <f t="shared" si="10"/>
        <v>4958000</v>
      </c>
      <c r="K44" s="46">
        <f t="shared" si="10"/>
        <v>4258000</v>
      </c>
      <c r="L44" s="46">
        <f t="shared" si="10"/>
        <v>3458000</v>
      </c>
      <c r="M44" s="46">
        <f t="shared" si="10"/>
        <v>2703000</v>
      </c>
      <c r="N44" s="46">
        <f>SUM(N45:N49,N52)</f>
        <v>2103000</v>
      </c>
      <c r="O44" s="46">
        <f>SUM(O45:O49,O52)</f>
        <v>1503000</v>
      </c>
      <c r="P44" s="46">
        <f>SUM(P45:P49,P52)</f>
        <v>903000</v>
      </c>
      <c r="Q44" s="46">
        <f>SUM(Q45:Q49,Q52)</f>
        <v>0</v>
      </c>
    </row>
    <row r="45" spans="1:17" s="5" customFormat="1" ht="15.75">
      <c r="A45" s="7">
        <v>36</v>
      </c>
      <c r="B45" s="10" t="s">
        <v>6</v>
      </c>
      <c r="C45" s="56"/>
      <c r="D45" s="57"/>
      <c r="E45" s="56">
        <v>0</v>
      </c>
      <c r="F45" s="56">
        <v>800000</v>
      </c>
      <c r="G45" s="56">
        <f>F45-H38+G23-G24</f>
        <v>4431317</v>
      </c>
      <c r="H45" s="56">
        <f>G45-I38+H23-H24</f>
        <v>4231317</v>
      </c>
      <c r="I45" s="56">
        <f>H45-J38+I23-I24+H55+210022</f>
        <v>5603000</v>
      </c>
      <c r="J45" s="56">
        <f>I45-J37</f>
        <v>4503000</v>
      </c>
      <c r="K45" s="56">
        <f>J45-K37</f>
        <v>3903000</v>
      </c>
      <c r="L45" s="56">
        <f>K45-L37</f>
        <v>3303000</v>
      </c>
      <c r="M45" s="56">
        <f>L45-M37</f>
        <v>2703000</v>
      </c>
      <c r="N45" s="56">
        <f>M45-N37</f>
        <v>2103000</v>
      </c>
      <c r="O45" s="56">
        <f>N45-O37</f>
        <v>1503000</v>
      </c>
      <c r="P45" s="56">
        <f>O45-P37</f>
        <v>903000</v>
      </c>
      <c r="Q45" s="56">
        <f>P45-Q37</f>
        <v>0</v>
      </c>
    </row>
    <row r="46" spans="1:17" s="5" customFormat="1" ht="15.75">
      <c r="A46" s="7">
        <v>37</v>
      </c>
      <c r="B46" s="10" t="s">
        <v>7</v>
      </c>
      <c r="C46" s="99">
        <v>877901</v>
      </c>
      <c r="D46" s="56">
        <f>C46-D29-D43</f>
        <v>819871</v>
      </c>
      <c r="E46" s="56">
        <f>D46-E29-E43</f>
        <v>691444</v>
      </c>
      <c r="F46" s="56">
        <f>D46-F29-F43</f>
        <v>627871</v>
      </c>
      <c r="G46" s="56">
        <f aca="true" t="shared" si="11" ref="G46:N46">F46-G29</f>
        <v>435871</v>
      </c>
      <c r="H46" s="56">
        <f t="shared" si="11"/>
        <v>254871</v>
      </c>
      <c r="I46" s="56">
        <f t="shared" si="11"/>
        <v>83871</v>
      </c>
      <c r="J46" s="56">
        <f t="shared" si="11"/>
        <v>0</v>
      </c>
      <c r="K46" s="56">
        <f t="shared" si="11"/>
        <v>0</v>
      </c>
      <c r="L46" s="56">
        <f t="shared" si="11"/>
        <v>0</v>
      </c>
      <c r="M46" s="56">
        <f t="shared" si="11"/>
        <v>0</v>
      </c>
      <c r="N46" s="56">
        <f t="shared" si="11"/>
        <v>0</v>
      </c>
      <c r="O46" s="56">
        <f>N46-O29</f>
        <v>0</v>
      </c>
      <c r="P46" s="56">
        <f>O46-P29</f>
        <v>0</v>
      </c>
      <c r="Q46" s="56">
        <f>P46-Q29</f>
        <v>0</v>
      </c>
    </row>
    <row r="47" spans="1:17" s="5" customFormat="1" ht="15.75">
      <c r="A47" s="7">
        <v>38</v>
      </c>
      <c r="B47" s="11" t="s">
        <v>8</v>
      </c>
      <c r="C47" s="99">
        <v>370772</v>
      </c>
      <c r="D47" s="56">
        <f>C47-D31</f>
        <v>286772</v>
      </c>
      <c r="E47" s="56">
        <f>D47-E31</f>
        <v>202772</v>
      </c>
      <c r="F47" s="56">
        <f>D47-F31</f>
        <v>202772</v>
      </c>
      <c r="G47" s="56">
        <f aca="true" t="shared" si="12" ref="G47:N47">F47-G31</f>
        <v>118772</v>
      </c>
      <c r="H47" s="56">
        <f>G47-H32</f>
        <v>34772</v>
      </c>
      <c r="I47" s="56">
        <f>H47-I31+H54</f>
        <v>555000</v>
      </c>
      <c r="J47" s="56">
        <f t="shared" si="12"/>
        <v>455000</v>
      </c>
      <c r="K47" s="56">
        <f t="shared" si="12"/>
        <v>355000</v>
      </c>
      <c r="L47" s="56">
        <f t="shared" si="12"/>
        <v>155000</v>
      </c>
      <c r="M47" s="56">
        <f t="shared" si="12"/>
        <v>0</v>
      </c>
      <c r="N47" s="56">
        <f t="shared" si="12"/>
        <v>0</v>
      </c>
      <c r="O47" s="56">
        <v>0</v>
      </c>
      <c r="P47" s="56">
        <v>0</v>
      </c>
      <c r="Q47" s="56">
        <v>0</v>
      </c>
    </row>
    <row r="48" spans="1:17" s="5" customFormat="1" ht="18.75">
      <c r="A48" s="7">
        <v>39</v>
      </c>
      <c r="B48" s="11" t="s">
        <v>38</v>
      </c>
      <c r="C48" s="58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s="5" customFormat="1" ht="31.5">
      <c r="A49" s="7">
        <v>40</v>
      </c>
      <c r="B49" s="26" t="s">
        <v>36</v>
      </c>
      <c r="C49" s="58">
        <f>SUM(C50:C51)</f>
        <v>19329</v>
      </c>
      <c r="D49" s="60">
        <v>0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</row>
    <row r="50" spans="1:17" s="5" customFormat="1" ht="25.5">
      <c r="A50" s="7">
        <v>41</v>
      </c>
      <c r="B50" s="32" t="s">
        <v>22</v>
      </c>
      <c r="C50" s="58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</row>
    <row r="51" spans="1:17" s="5" customFormat="1" ht="25.5">
      <c r="A51" s="7">
        <v>42</v>
      </c>
      <c r="B51" s="32" t="s">
        <v>37</v>
      </c>
      <c r="C51" s="99">
        <v>19329</v>
      </c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</row>
    <row r="52" spans="1:17" s="5" customFormat="1" ht="47.25">
      <c r="A52" s="145">
        <v>43</v>
      </c>
      <c r="B52" s="12" t="s">
        <v>61</v>
      </c>
      <c r="C52" s="58"/>
      <c r="D52" s="61"/>
      <c r="E52" s="58">
        <f>SUM(E53:E55)</f>
        <v>0</v>
      </c>
      <c r="F52" s="58"/>
      <c r="G52" s="58">
        <f>SUM(G53:G55)</f>
        <v>2726683</v>
      </c>
      <c r="H52" s="58">
        <f>SUM(H53:H55)</f>
        <v>2016661</v>
      </c>
      <c r="I52" s="58"/>
      <c r="J52" s="58"/>
      <c r="K52" s="58"/>
      <c r="L52" s="58"/>
      <c r="M52" s="58"/>
      <c r="N52" s="58"/>
      <c r="O52" s="58"/>
      <c r="P52" s="58"/>
      <c r="Q52" s="58"/>
    </row>
    <row r="53" spans="1:17" s="5" customFormat="1" ht="15">
      <c r="A53" s="146"/>
      <c r="B53" s="45" t="s">
        <v>9</v>
      </c>
      <c r="C53" s="58"/>
      <c r="D53" s="59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</row>
    <row r="54" spans="1:17" s="5" customFormat="1" ht="15">
      <c r="A54" s="146"/>
      <c r="B54" s="45" t="s">
        <v>10</v>
      </c>
      <c r="C54" s="58"/>
      <c r="D54" s="59"/>
      <c r="E54" s="60"/>
      <c r="F54" s="60"/>
      <c r="G54" s="60">
        <f>G19</f>
        <v>755000</v>
      </c>
      <c r="H54" s="60">
        <f>G54-H33</f>
        <v>655000</v>
      </c>
      <c r="I54" s="60"/>
      <c r="J54" s="60"/>
      <c r="K54" s="60"/>
      <c r="L54" s="60"/>
      <c r="M54" s="60"/>
      <c r="N54" s="60"/>
      <c r="O54" s="60"/>
      <c r="P54" s="60"/>
      <c r="Q54" s="60"/>
    </row>
    <row r="55" spans="1:17" s="5" customFormat="1" ht="15.75" thickBot="1">
      <c r="A55" s="146"/>
      <c r="B55" s="45" t="s">
        <v>24</v>
      </c>
      <c r="C55" s="62"/>
      <c r="D55" s="63"/>
      <c r="E55" s="64">
        <v>0</v>
      </c>
      <c r="F55" s="64"/>
      <c r="G55" s="64">
        <f>G24</f>
        <v>1971683</v>
      </c>
      <c r="H55" s="64">
        <v>1361661</v>
      </c>
      <c r="I55" s="64"/>
      <c r="J55" s="64"/>
      <c r="K55" s="64"/>
      <c r="L55" s="64"/>
      <c r="M55" s="64"/>
      <c r="N55" s="64"/>
      <c r="O55" s="64"/>
      <c r="P55" s="64"/>
      <c r="Q55" s="64"/>
    </row>
    <row r="56" spans="1:17" s="4" customFormat="1" ht="33.75" thickBot="1">
      <c r="A56" s="17">
        <v>44</v>
      </c>
      <c r="B56" s="23" t="s">
        <v>42</v>
      </c>
      <c r="C56" s="74">
        <f aca="true" t="shared" si="13" ref="C56:N56">C44/C6</f>
        <v>0.10739097757988207</v>
      </c>
      <c r="D56" s="74">
        <f t="shared" si="13"/>
        <v>0.07887699095900673</v>
      </c>
      <c r="E56" s="74">
        <f t="shared" si="13"/>
        <v>0.08414064692103623</v>
      </c>
      <c r="F56" s="74">
        <f t="shared" si="13"/>
        <v>0.11488255600958151</v>
      </c>
      <c r="G56" s="74">
        <f t="shared" si="13"/>
        <v>0.40312790089901734</v>
      </c>
      <c r="H56" s="74">
        <f t="shared" si="13"/>
        <v>0.3163620130655698</v>
      </c>
      <c r="I56" s="74">
        <f t="shared" si="13"/>
        <v>0.43324459571377444</v>
      </c>
      <c r="J56" s="74">
        <f t="shared" si="13"/>
        <v>0.3280256646009695</v>
      </c>
      <c r="K56" s="74">
        <f t="shared" si="13"/>
        <v>0.271153925088961</v>
      </c>
      <c r="L56" s="74">
        <f t="shared" si="13"/>
        <v>0.2087102962880023</v>
      </c>
      <c r="M56" s="74">
        <f t="shared" si="13"/>
        <v>0.15594957156015604</v>
      </c>
      <c r="N56" s="74">
        <f t="shared" si="13"/>
        <v>0.11546173125906278</v>
      </c>
      <c r="O56" s="74">
        <f>O44/O6</f>
        <v>0.07942975420692766</v>
      </c>
      <c r="P56" s="74">
        <f>P44/P6</f>
        <v>0.04593251715787322</v>
      </c>
      <c r="Q56" s="74">
        <f>Q44/Q6</f>
        <v>0</v>
      </c>
    </row>
    <row r="57" spans="1:17" s="4" customFormat="1" ht="32.25" thickBot="1">
      <c r="A57" s="16">
        <v>45</v>
      </c>
      <c r="B57" s="25" t="s">
        <v>49</v>
      </c>
      <c r="C57" s="75">
        <f aca="true" t="shared" si="14" ref="C57:N57">(C44-C52)/C6</f>
        <v>0.10739097757988207</v>
      </c>
      <c r="D57" s="75">
        <f t="shared" si="14"/>
        <v>0.07887699095900673</v>
      </c>
      <c r="E57" s="75">
        <f t="shared" si="14"/>
        <v>0.08414064692103623</v>
      </c>
      <c r="F57" s="75">
        <f t="shared" si="14"/>
        <v>0.11488255600958151</v>
      </c>
      <c r="G57" s="75">
        <f t="shared" si="14"/>
        <v>0.2606084047668827</v>
      </c>
      <c r="H57" s="75">
        <f t="shared" si="14"/>
        <v>0.2187737720783934</v>
      </c>
      <c r="I57" s="75">
        <f t="shared" si="14"/>
        <v>0.43324459571377444</v>
      </c>
      <c r="J57" s="75">
        <f t="shared" si="14"/>
        <v>0.3280256646009695</v>
      </c>
      <c r="K57" s="75">
        <f t="shared" si="14"/>
        <v>0.271153925088961</v>
      </c>
      <c r="L57" s="75">
        <f t="shared" si="14"/>
        <v>0.2087102962880023</v>
      </c>
      <c r="M57" s="75">
        <f t="shared" si="14"/>
        <v>0.15594957156015604</v>
      </c>
      <c r="N57" s="75">
        <f t="shared" si="14"/>
        <v>0.11546173125906278</v>
      </c>
      <c r="O57" s="75">
        <f>(O44-O52)/O6</f>
        <v>0.07942975420692766</v>
      </c>
      <c r="P57" s="75">
        <f>(P44-P52)/P6</f>
        <v>0.04593251715787322</v>
      </c>
      <c r="Q57" s="75">
        <f>(Q44-Q52)/Q6</f>
        <v>0</v>
      </c>
    </row>
    <row r="58" spans="1:17" s="4" customFormat="1" ht="33.75" thickBot="1">
      <c r="A58" s="17">
        <v>46</v>
      </c>
      <c r="B58" s="23" t="s">
        <v>41</v>
      </c>
      <c r="C58" s="46">
        <f aca="true" t="shared" si="15" ref="C58:M58">SUM(C64:C69)</f>
        <v>330167</v>
      </c>
      <c r="D58" s="46">
        <f t="shared" si="15"/>
        <v>308254</v>
      </c>
      <c r="E58" s="46">
        <f t="shared" si="15"/>
        <v>268539</v>
      </c>
      <c r="F58" s="46">
        <f t="shared" si="15"/>
        <v>328900</v>
      </c>
      <c r="G58" s="46">
        <f t="shared" si="15"/>
        <v>378350</v>
      </c>
      <c r="H58" s="46">
        <f t="shared" si="15"/>
        <v>1596135</v>
      </c>
      <c r="I58" s="46">
        <f t="shared" si="15"/>
        <v>1051446</v>
      </c>
      <c r="J58" s="46">
        <f t="shared" si="15"/>
        <v>1588271</v>
      </c>
      <c r="K58" s="46">
        <f t="shared" si="15"/>
        <v>957000</v>
      </c>
      <c r="L58" s="46">
        <f t="shared" si="15"/>
        <v>1021000</v>
      </c>
      <c r="M58" s="46">
        <f t="shared" si="15"/>
        <v>939000</v>
      </c>
      <c r="N58" s="46">
        <f>SUM(N64:N69)</f>
        <v>747000</v>
      </c>
      <c r="O58" s="46">
        <f>SUM(O64:O69)</f>
        <v>714000</v>
      </c>
      <c r="P58" s="46">
        <f>SUM(P64:P69)</f>
        <v>681000</v>
      </c>
      <c r="Q58" s="46">
        <f>SUM(Q64:Q69)</f>
        <v>948000</v>
      </c>
    </row>
    <row r="59" spans="1:17" s="4" customFormat="1" ht="16.5" hidden="1">
      <c r="A59" s="76"/>
      <c r="B59" s="77" t="s">
        <v>64</v>
      </c>
      <c r="C59" s="93">
        <v>69513</v>
      </c>
      <c r="D59" s="94">
        <v>59973</v>
      </c>
      <c r="E59" s="93">
        <v>29593</v>
      </c>
      <c r="F59" s="93">
        <v>48000</v>
      </c>
      <c r="G59" s="93">
        <v>47050</v>
      </c>
      <c r="H59" s="93">
        <v>26500</v>
      </c>
      <c r="I59" s="91">
        <v>13500</v>
      </c>
      <c r="J59" s="91">
        <v>1900</v>
      </c>
      <c r="K59" s="91">
        <v>0</v>
      </c>
      <c r="L59" s="91">
        <v>0</v>
      </c>
      <c r="M59" s="91">
        <v>0</v>
      </c>
      <c r="N59" s="91">
        <v>0</v>
      </c>
      <c r="O59" s="91">
        <v>0</v>
      </c>
      <c r="P59" s="91">
        <v>0</v>
      </c>
      <c r="Q59" s="91">
        <v>0</v>
      </c>
    </row>
    <row r="60" spans="1:17" s="4" customFormat="1" ht="16.5" hidden="1">
      <c r="A60" s="76"/>
      <c r="B60" s="127" t="s">
        <v>74</v>
      </c>
      <c r="C60" s="95"/>
      <c r="D60" s="96"/>
      <c r="E60" s="95"/>
      <c r="F60" s="95"/>
      <c r="G60" s="95">
        <v>52100</v>
      </c>
      <c r="H60" s="95">
        <v>52100</v>
      </c>
      <c r="I60" s="92">
        <v>26000</v>
      </c>
      <c r="J60" s="92">
        <v>12000</v>
      </c>
      <c r="K60" s="92">
        <v>0</v>
      </c>
      <c r="L60" s="92">
        <v>0</v>
      </c>
      <c r="M60" s="92">
        <v>0</v>
      </c>
      <c r="N60" s="92"/>
      <c r="O60" s="92"/>
      <c r="P60" s="92"/>
      <c r="Q60" s="92"/>
    </row>
    <row r="61" spans="1:17" s="4" customFormat="1" ht="16.5" hidden="1">
      <c r="A61" s="76"/>
      <c r="B61" s="90" t="s">
        <v>89</v>
      </c>
      <c r="C61" s="124"/>
      <c r="D61" s="125"/>
      <c r="E61" s="124"/>
      <c r="F61" s="124"/>
      <c r="G61" s="124"/>
      <c r="H61" s="124">
        <v>310000</v>
      </c>
      <c r="I61" s="126">
        <v>290000</v>
      </c>
      <c r="J61" s="126">
        <v>277000</v>
      </c>
      <c r="K61" s="126">
        <v>246000</v>
      </c>
      <c r="L61" s="126">
        <v>212000</v>
      </c>
      <c r="M61" s="126">
        <v>180000</v>
      </c>
      <c r="N61" s="126">
        <v>147000</v>
      </c>
      <c r="O61" s="126">
        <v>114000</v>
      </c>
      <c r="P61" s="126">
        <v>81000</v>
      </c>
      <c r="Q61" s="126">
        <v>45000</v>
      </c>
    </row>
    <row r="62" spans="1:17" s="4" customFormat="1" ht="16.5" hidden="1">
      <c r="A62" s="76"/>
      <c r="B62" s="78" t="s">
        <v>88</v>
      </c>
      <c r="C62" s="124"/>
      <c r="D62" s="125"/>
      <c r="E62" s="124"/>
      <c r="F62" s="124"/>
      <c r="G62" s="124"/>
      <c r="H62" s="124">
        <v>19000</v>
      </c>
      <c r="I62" s="126">
        <v>16000</v>
      </c>
      <c r="J62" s="126">
        <v>13500</v>
      </c>
      <c r="K62" s="126">
        <v>11000</v>
      </c>
      <c r="L62" s="126">
        <v>9000</v>
      </c>
      <c r="M62" s="126">
        <v>4000</v>
      </c>
      <c r="N62" s="126"/>
      <c r="O62" s="126"/>
      <c r="P62" s="126"/>
      <c r="Q62" s="126"/>
    </row>
    <row r="63" spans="1:17" s="4" customFormat="1" ht="16.5" hidden="1">
      <c r="A63" s="76"/>
      <c r="B63" s="78" t="s">
        <v>65</v>
      </c>
      <c r="C63" s="97">
        <v>8377</v>
      </c>
      <c r="D63" s="98">
        <v>6732</v>
      </c>
      <c r="E63" s="97">
        <v>3949</v>
      </c>
      <c r="F63" s="97">
        <v>4900</v>
      </c>
      <c r="G63" s="97">
        <v>3200</v>
      </c>
      <c r="H63" s="97">
        <v>1535</v>
      </c>
      <c r="I63" s="83">
        <v>174</v>
      </c>
      <c r="J63" s="83">
        <v>0</v>
      </c>
      <c r="K63" s="83">
        <v>0</v>
      </c>
      <c r="L63" s="83">
        <v>0</v>
      </c>
      <c r="M63" s="83">
        <v>0</v>
      </c>
      <c r="N63" s="83">
        <v>0</v>
      </c>
      <c r="O63" s="83">
        <v>0</v>
      </c>
      <c r="P63" s="83">
        <v>0</v>
      </c>
      <c r="Q63" s="83">
        <v>0</v>
      </c>
    </row>
    <row r="64" spans="1:17" s="4" customFormat="1" ht="16.5">
      <c r="A64" s="7">
        <v>47</v>
      </c>
      <c r="B64" s="13" t="s">
        <v>45</v>
      </c>
      <c r="C64" s="99">
        <f aca="true" t="shared" si="16" ref="C64:M64">C59+C29</f>
        <v>237790</v>
      </c>
      <c r="D64" s="99">
        <f t="shared" si="16"/>
        <v>217522</v>
      </c>
      <c r="E64" s="99">
        <f t="shared" si="16"/>
        <v>180590</v>
      </c>
      <c r="F64" s="99">
        <f t="shared" si="16"/>
        <v>240000</v>
      </c>
      <c r="G64" s="99">
        <f t="shared" si="16"/>
        <v>239050</v>
      </c>
      <c r="H64" s="99">
        <f t="shared" si="16"/>
        <v>207500</v>
      </c>
      <c r="I64" s="99">
        <f t="shared" si="16"/>
        <v>184500</v>
      </c>
      <c r="J64" s="99">
        <f t="shared" si="16"/>
        <v>85771</v>
      </c>
      <c r="K64" s="99">
        <f t="shared" si="16"/>
        <v>0</v>
      </c>
      <c r="L64" s="99">
        <f t="shared" si="16"/>
        <v>0</v>
      </c>
      <c r="M64" s="99">
        <f t="shared" si="16"/>
        <v>0</v>
      </c>
      <c r="N64" s="99">
        <v>0</v>
      </c>
      <c r="O64" s="99">
        <v>0</v>
      </c>
      <c r="P64" s="99">
        <v>0</v>
      </c>
      <c r="Q64" s="99">
        <v>0</v>
      </c>
    </row>
    <row r="65" spans="1:17" s="4" customFormat="1" ht="16.5">
      <c r="A65" s="7">
        <v>48</v>
      </c>
      <c r="B65" s="13" t="s">
        <v>46</v>
      </c>
      <c r="C65" s="99">
        <f aca="true" t="shared" si="17" ref="C65:N65">C31+C63</f>
        <v>92377</v>
      </c>
      <c r="D65" s="99">
        <f t="shared" si="17"/>
        <v>90732</v>
      </c>
      <c r="E65" s="99">
        <f t="shared" si="17"/>
        <v>87949</v>
      </c>
      <c r="F65" s="99">
        <f t="shared" si="17"/>
        <v>88900</v>
      </c>
      <c r="G65" s="99">
        <f t="shared" si="17"/>
        <v>87200</v>
      </c>
      <c r="H65" s="99">
        <f>H32+H63</f>
        <v>85535</v>
      </c>
      <c r="I65" s="99">
        <f>I31+SUM(I62:I63)</f>
        <v>150946</v>
      </c>
      <c r="J65" s="99">
        <f>J31+SUM(J62:J63)</f>
        <v>113500</v>
      </c>
      <c r="K65" s="99">
        <f>K31+SUM(K62:K63)</f>
        <v>111000</v>
      </c>
      <c r="L65" s="99">
        <f>L31+SUM(L62:L63)</f>
        <v>209000</v>
      </c>
      <c r="M65" s="99">
        <f>M31+SUM(M62:M63)</f>
        <v>159000</v>
      </c>
      <c r="N65" s="99">
        <f t="shared" si="17"/>
        <v>0</v>
      </c>
      <c r="O65" s="99">
        <v>0</v>
      </c>
      <c r="P65" s="99">
        <v>0</v>
      </c>
      <c r="Q65" s="99">
        <v>0</v>
      </c>
    </row>
    <row r="66" spans="1:17" s="4" customFormat="1" ht="54.75" customHeight="1">
      <c r="A66" s="7">
        <v>49</v>
      </c>
      <c r="B66" s="14" t="s">
        <v>27</v>
      </c>
      <c r="C66" s="58"/>
      <c r="D66" s="65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</row>
    <row r="67" spans="1:17" s="4" customFormat="1" ht="47.25">
      <c r="A67" s="7">
        <v>50</v>
      </c>
      <c r="B67" s="15" t="s">
        <v>52</v>
      </c>
      <c r="C67" s="62"/>
      <c r="D67" s="65"/>
      <c r="E67" s="58">
        <f>D45-E37+E60</f>
        <v>0</v>
      </c>
      <c r="F67" s="58">
        <v>0</v>
      </c>
      <c r="G67" s="58">
        <f>G60+G37</f>
        <v>52100</v>
      </c>
      <c r="H67" s="58">
        <f>SUM(H60:H61)+H37-H41</f>
        <v>762100</v>
      </c>
      <c r="I67" s="58">
        <f>SUM(I60:I61)+I37</f>
        <v>716000</v>
      </c>
      <c r="J67" s="58">
        <f>SUM(J60:J61)+J37</f>
        <v>1389000</v>
      </c>
      <c r="K67" s="58">
        <f>SUM(K60:K61)+K37</f>
        <v>846000</v>
      </c>
      <c r="L67" s="58">
        <f>SUM(L60:L61)+L37</f>
        <v>812000</v>
      </c>
      <c r="M67" s="58">
        <f>SUM(M60:M61)+M37</f>
        <v>780000</v>
      </c>
      <c r="N67" s="58">
        <f>SUM(N60:N61)+N37</f>
        <v>747000</v>
      </c>
      <c r="O67" s="58">
        <f>SUM(O60:O61)+O37</f>
        <v>714000</v>
      </c>
      <c r="P67" s="58">
        <f>SUM(P60:P61)+P37</f>
        <v>681000</v>
      </c>
      <c r="Q67" s="58">
        <f>SUM(Q60:Q61)+Q37</f>
        <v>948000</v>
      </c>
    </row>
    <row r="68" spans="1:17" s="4" customFormat="1" ht="47.25">
      <c r="A68" s="7">
        <v>51</v>
      </c>
      <c r="B68" s="14" t="s">
        <v>55</v>
      </c>
      <c r="C68" s="58"/>
      <c r="D68" s="65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</row>
    <row r="69" spans="1:17" s="4" customFormat="1" ht="47.25">
      <c r="A69" s="147">
        <v>52</v>
      </c>
      <c r="B69" s="14" t="s">
        <v>62</v>
      </c>
      <c r="C69" s="58"/>
      <c r="D69" s="65"/>
      <c r="E69" s="58"/>
      <c r="F69" s="58"/>
      <c r="G69" s="58"/>
      <c r="H69" s="58">
        <f>SUM(H70:H73)</f>
        <v>541000</v>
      </c>
      <c r="I69" s="58"/>
      <c r="J69" s="58"/>
      <c r="K69" s="58"/>
      <c r="L69" s="58"/>
      <c r="M69" s="58"/>
      <c r="N69" s="58"/>
      <c r="O69" s="58"/>
      <c r="P69" s="58"/>
      <c r="Q69" s="58"/>
    </row>
    <row r="70" spans="1:17" s="4" customFormat="1" ht="16.5">
      <c r="A70" s="148"/>
      <c r="B70" s="33" t="s">
        <v>11</v>
      </c>
      <c r="C70" s="58"/>
      <c r="D70" s="65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</row>
    <row r="71" spans="1:17" s="4" customFormat="1" ht="16.5">
      <c r="A71" s="148"/>
      <c r="B71" s="33" t="s">
        <v>12</v>
      </c>
      <c r="C71" s="58"/>
      <c r="D71" s="65"/>
      <c r="E71" s="58"/>
      <c r="F71" s="58"/>
      <c r="G71" s="58"/>
      <c r="H71" s="58">
        <f>H62+H33</f>
        <v>119000</v>
      </c>
      <c r="I71" s="58"/>
      <c r="J71" s="58"/>
      <c r="K71" s="58"/>
      <c r="L71" s="58"/>
      <c r="M71" s="58"/>
      <c r="N71" s="58"/>
      <c r="O71" s="58"/>
      <c r="P71" s="58"/>
      <c r="Q71" s="58"/>
    </row>
    <row r="72" spans="1:17" s="4" customFormat="1" ht="16.5">
      <c r="A72" s="148"/>
      <c r="B72" s="34" t="s">
        <v>51</v>
      </c>
      <c r="C72" s="58"/>
      <c r="D72" s="65"/>
      <c r="E72" s="58"/>
      <c r="F72" s="58"/>
      <c r="G72" s="58"/>
      <c r="H72" s="58">
        <f>H40+22000</f>
        <v>422000</v>
      </c>
      <c r="I72" s="58"/>
      <c r="J72" s="58"/>
      <c r="K72" s="58"/>
      <c r="L72" s="58"/>
      <c r="M72" s="58"/>
      <c r="N72" s="58"/>
      <c r="O72" s="58"/>
      <c r="P72" s="58"/>
      <c r="Q72" s="58"/>
    </row>
    <row r="73" spans="1:17" s="4" customFormat="1" ht="26.25" thickBot="1">
      <c r="A73" s="149"/>
      <c r="B73" s="35" t="s">
        <v>39</v>
      </c>
      <c r="C73" s="79"/>
      <c r="D73" s="80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</row>
    <row r="74" spans="1:17" s="4" customFormat="1" ht="33.75" thickBot="1">
      <c r="A74" s="17">
        <v>53</v>
      </c>
      <c r="B74" s="23" t="s">
        <v>47</v>
      </c>
      <c r="C74" s="81">
        <f aca="true" t="shared" si="18" ref="C74:N74">C58/C6</f>
        <v>0.027962855653711056</v>
      </c>
      <c r="D74" s="81">
        <f t="shared" si="18"/>
        <v>0.02197108550009141</v>
      </c>
      <c r="E74" s="81">
        <f t="shared" si="18"/>
        <v>0.02526799473899835</v>
      </c>
      <c r="F74" s="81">
        <f t="shared" si="18"/>
        <v>0.023171762716640835</v>
      </c>
      <c r="G74" s="81">
        <f t="shared" si="18"/>
        <v>0.019775768346226217</v>
      </c>
      <c r="H74" s="81">
        <f t="shared" si="18"/>
        <v>0.07723856762642149</v>
      </c>
      <c r="I74" s="81">
        <f t="shared" si="18"/>
        <v>0.07298024858009165</v>
      </c>
      <c r="J74" s="81">
        <f t="shared" si="18"/>
        <v>0.1050814139454309</v>
      </c>
      <c r="K74" s="81">
        <f t="shared" si="18"/>
        <v>0.06094276803901731</v>
      </c>
      <c r="L74" s="81">
        <f t="shared" si="18"/>
        <v>0.0616232540514894</v>
      </c>
      <c r="M74" s="81">
        <f t="shared" si="18"/>
        <v>0.054175600331108596</v>
      </c>
      <c r="N74" s="81">
        <f t="shared" si="18"/>
        <v>0.04101279755136467</v>
      </c>
      <c r="O74" s="81">
        <f>O58/O6</f>
        <v>0.03773309680887981</v>
      </c>
      <c r="P74" s="81">
        <f>P58/P6</f>
        <v>0.03464013752437615</v>
      </c>
      <c r="Q74" s="81">
        <f>Q58/Q6</f>
        <v>0.04641224006082545</v>
      </c>
    </row>
    <row r="75" spans="1:17" s="4" customFormat="1" ht="33.75" thickBot="1">
      <c r="A75" s="16">
        <v>54</v>
      </c>
      <c r="B75" s="25" t="s">
        <v>48</v>
      </c>
      <c r="C75" s="82">
        <f aca="true" t="shared" si="19" ref="C75:N75">(C58-C69)/C6</f>
        <v>0.027962855653711056</v>
      </c>
      <c r="D75" s="82">
        <f t="shared" si="19"/>
        <v>0.02197108550009141</v>
      </c>
      <c r="E75" s="82">
        <f t="shared" si="19"/>
        <v>0.02526799473899835</v>
      </c>
      <c r="F75" s="82">
        <f t="shared" si="19"/>
        <v>0.023171762716640835</v>
      </c>
      <c r="G75" s="82">
        <f t="shared" si="19"/>
        <v>0.019775768346226217</v>
      </c>
      <c r="H75" s="82">
        <f t="shared" si="19"/>
        <v>0.05105903701911445</v>
      </c>
      <c r="I75" s="82">
        <f t="shared" si="19"/>
        <v>0.07298024858009165</v>
      </c>
      <c r="J75" s="82">
        <f t="shared" si="19"/>
        <v>0.1050814139454309</v>
      </c>
      <c r="K75" s="82">
        <f t="shared" si="19"/>
        <v>0.06094276803901731</v>
      </c>
      <c r="L75" s="82">
        <f t="shared" si="19"/>
        <v>0.0616232540514894</v>
      </c>
      <c r="M75" s="82">
        <f t="shared" si="19"/>
        <v>0.054175600331108596</v>
      </c>
      <c r="N75" s="82">
        <f t="shared" si="19"/>
        <v>0.04101279755136467</v>
      </c>
      <c r="O75" s="82">
        <f>(O58-O69)/O6</f>
        <v>0.03773309680887981</v>
      </c>
      <c r="P75" s="82">
        <f>(P58-P69)/P6</f>
        <v>0.03464013752437615</v>
      </c>
      <c r="Q75" s="82">
        <f>(Q58-Q69)/Q6</f>
        <v>0.04641224006082545</v>
      </c>
    </row>
    <row r="76" spans="2:3" ht="28.5">
      <c r="B76" s="40" t="s">
        <v>54</v>
      </c>
      <c r="C76" s="30"/>
    </row>
    <row r="77" ht="13.5" thickBot="1"/>
    <row r="78" spans="1:7" s="4" customFormat="1" ht="16.5">
      <c r="A78" s="144" t="s">
        <v>81</v>
      </c>
      <c r="B78" s="144"/>
      <c r="C78" s="144"/>
      <c r="D78" s="144"/>
      <c r="E78" s="144"/>
      <c r="F78" s="144"/>
      <c r="G78" s="144"/>
    </row>
    <row r="79" spans="1:17" s="4" customFormat="1" ht="16.5">
      <c r="A79" s="109">
        <v>54</v>
      </c>
      <c r="B79" s="110" t="s">
        <v>82</v>
      </c>
      <c r="C79" s="119">
        <f>C7</f>
        <v>11589088</v>
      </c>
      <c r="D79" s="119">
        <f>D7</f>
        <v>13140171</v>
      </c>
      <c r="E79" s="119">
        <f>E7</f>
        <v>10516085</v>
      </c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</row>
    <row r="80" spans="1:17" s="4" customFormat="1" ht="16.5">
      <c r="A80" s="109">
        <v>55</v>
      </c>
      <c r="B80" s="110" t="s">
        <v>83</v>
      </c>
      <c r="C80" s="119">
        <f>C9</f>
        <v>216990</v>
      </c>
      <c r="D80" s="119">
        <f>D9</f>
        <v>243488</v>
      </c>
      <c r="E80" s="119">
        <f>E9</f>
        <v>109213</v>
      </c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</row>
    <row r="81" spans="1:17" s="4" customFormat="1" ht="17.25" thickBot="1">
      <c r="A81" s="112">
        <v>56</v>
      </c>
      <c r="B81" s="113" t="s">
        <v>84</v>
      </c>
      <c r="C81" s="120">
        <f>C11</f>
        <v>10337306</v>
      </c>
      <c r="D81" s="120">
        <f>D11</f>
        <v>11662817</v>
      </c>
      <c r="E81" s="120">
        <f>E11</f>
        <v>9295848</v>
      </c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</row>
    <row r="82" spans="1:17" s="4" customFormat="1" ht="17.25" thickBot="1">
      <c r="A82" s="114">
        <v>57</v>
      </c>
      <c r="B82" s="115" t="s">
        <v>85</v>
      </c>
      <c r="C82" s="122">
        <f>(C79+C80-C81)/C6</f>
        <v>0.12439480452078037</v>
      </c>
      <c r="D82" s="122">
        <f>(D79+D80-D81)/D6</f>
        <v>0.12265458587446815</v>
      </c>
      <c r="E82" s="122">
        <f>(E79+E80-E81)/E6</f>
        <v>0.12509369441966103</v>
      </c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</row>
    <row r="83" spans="1:17" s="4" customFormat="1" ht="17.25" thickBot="1">
      <c r="A83" s="116">
        <v>58</v>
      </c>
      <c r="B83" s="117" t="s">
        <v>86</v>
      </c>
      <c r="C83" s="118"/>
      <c r="D83" s="118"/>
      <c r="E83" s="118"/>
      <c r="F83" s="121">
        <f>SUM(F64:F65,F67)</f>
        <v>328900</v>
      </c>
      <c r="G83" s="121">
        <f>SUM(G64:G65,G67)</f>
        <v>378350</v>
      </c>
      <c r="H83" s="121">
        <f>SUM(H64:H65,H67)</f>
        <v>1055135</v>
      </c>
      <c r="I83" s="121">
        <f aca="true" t="shared" si="20" ref="I83:N83">SUM(I64:I65,I67)</f>
        <v>1051446</v>
      </c>
      <c r="J83" s="121">
        <f t="shared" si="20"/>
        <v>1588271</v>
      </c>
      <c r="K83" s="121">
        <f t="shared" si="20"/>
        <v>957000</v>
      </c>
      <c r="L83" s="121">
        <f t="shared" si="20"/>
        <v>1021000</v>
      </c>
      <c r="M83" s="121">
        <f t="shared" si="20"/>
        <v>939000</v>
      </c>
      <c r="N83" s="121">
        <f t="shared" si="20"/>
        <v>747000</v>
      </c>
      <c r="O83" s="121">
        <f>SUM(O64:O65,O67)</f>
        <v>714000</v>
      </c>
      <c r="P83" s="121">
        <f>SUM(P64:P65,P67)</f>
        <v>681000</v>
      </c>
      <c r="Q83" s="121">
        <f>SUM(Q64:Q65,Q67)</f>
        <v>948000</v>
      </c>
    </row>
    <row r="84" spans="1:17" s="4" customFormat="1" ht="17.25" thickBot="1">
      <c r="A84" s="114">
        <v>59</v>
      </c>
      <c r="B84" s="115" t="s">
        <v>87</v>
      </c>
      <c r="C84" s="111"/>
      <c r="D84" s="111"/>
      <c r="E84" s="111"/>
      <c r="F84" s="122">
        <f aca="true" t="shared" si="21" ref="F84:N84">F83/F6</f>
        <v>0.023171762716640835</v>
      </c>
      <c r="G84" s="122">
        <f t="shared" si="21"/>
        <v>0.019775768346226217</v>
      </c>
      <c r="H84" s="122">
        <f t="shared" si="21"/>
        <v>0.05105903701911445</v>
      </c>
      <c r="I84" s="122">
        <f t="shared" si="21"/>
        <v>0.07298024858009165</v>
      </c>
      <c r="J84" s="122">
        <f t="shared" si="21"/>
        <v>0.1050814139454309</v>
      </c>
      <c r="K84" s="122">
        <f t="shared" si="21"/>
        <v>0.06094276803901731</v>
      </c>
      <c r="L84" s="122">
        <f t="shared" si="21"/>
        <v>0.0616232540514894</v>
      </c>
      <c r="M84" s="122">
        <f t="shared" si="21"/>
        <v>0.054175600331108596</v>
      </c>
      <c r="N84" s="122">
        <f t="shared" si="21"/>
        <v>0.04101279755136467</v>
      </c>
      <c r="O84" s="122">
        <f>O83/O6</f>
        <v>0.03773309680887981</v>
      </c>
      <c r="P84" s="122">
        <f>P83/P6</f>
        <v>0.03464013752437615</v>
      </c>
      <c r="Q84" s="122">
        <f>Q83/Q6</f>
        <v>0.04641224006082545</v>
      </c>
    </row>
  </sheetData>
  <sheetProtection/>
  <mergeCells count="7">
    <mergeCell ref="A78:G78"/>
    <mergeCell ref="A52:A55"/>
    <mergeCell ref="A69:A73"/>
    <mergeCell ref="D1:E1"/>
    <mergeCell ref="C4:E4"/>
    <mergeCell ref="B2:N2"/>
    <mergeCell ref="F4:Q4"/>
  </mergeCells>
  <printOptions/>
  <pageMargins left="0.5905511811023623" right="0.31496062992125984" top="0.5511811023622047" bottom="0.4724409448818898" header="0.5905511811023623" footer="0.4330708661417323"/>
  <pageSetup fitToHeight="2" fitToWidth="1" horizontalDpi="360" verticalDpi="360" orientation="landscape" paperSize="9" scale="45" r:id="rId1"/>
  <rowBreaks count="1" manualBreakCount="1">
    <brk id="3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 do proj. uchwały budżetowej na 2003 r.</dc:title>
  <dc:subject/>
  <dc:creator>Mieczysław Kus</dc:creator>
  <cp:keywords/>
  <dc:description/>
  <cp:lastModifiedBy>M_Bachta</cp:lastModifiedBy>
  <cp:lastPrinted>2009-11-12T08:27:11Z</cp:lastPrinted>
  <dcterms:created xsi:type="dcterms:W3CDTF">2002-09-26T09:06:19Z</dcterms:created>
  <dcterms:modified xsi:type="dcterms:W3CDTF">2009-12-18T09:38:32Z</dcterms:modified>
  <cp:category/>
  <cp:version/>
  <cp:contentType/>
  <cp:contentStatus/>
</cp:coreProperties>
</file>