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  <sheet name="Inf finansowa" sheetId="4" r:id="rId4"/>
    <sheet name="Arkusz5" sheetId="6" r:id="rId5"/>
  </sheets>
  <externalReferences>
    <externalReference r:id="rId6"/>
  </externalReferences>
  <definedNames>
    <definedName name="_xlnm.Print_Area" localSheetId="0">Arkusz1!$A$1:$O$58</definedName>
    <definedName name="_xlnm.Print_Titles" localSheetId="3">'Inf finansowa'!$4:$5</definedName>
  </definedNames>
  <calcPr calcId="125725"/>
</workbook>
</file>

<file path=xl/calcChain.xml><?xml version="1.0" encoding="utf-8"?>
<calcChain xmlns="http://schemas.openxmlformats.org/spreadsheetml/2006/main">
  <c r="E15" i="6"/>
  <c r="E6"/>
  <c r="E7"/>
  <c r="E8"/>
  <c r="E9"/>
  <c r="E10"/>
  <c r="E11"/>
  <c r="E12"/>
  <c r="E13"/>
  <c r="E14"/>
  <c r="E5"/>
  <c r="E62" i="4"/>
  <c r="D60"/>
  <c r="D59"/>
  <c r="E47"/>
  <c r="D45"/>
  <c r="D32"/>
  <c r="D14"/>
  <c r="C58"/>
  <c r="D46"/>
  <c r="C14"/>
  <c r="F47"/>
  <c r="G47" s="1"/>
  <c r="H47" s="1"/>
  <c r="I47" s="1"/>
  <c r="I69"/>
  <c r="J69"/>
  <c r="K69"/>
  <c r="L69"/>
  <c r="M69"/>
  <c r="N69"/>
  <c r="O69"/>
  <c r="P69"/>
  <c r="Q69"/>
  <c r="H69"/>
  <c r="D52"/>
  <c r="D44" s="1"/>
  <c r="E67"/>
  <c r="D58" l="1"/>
  <c r="F67"/>
  <c r="G67"/>
  <c r="G64" s="1"/>
  <c r="C64"/>
  <c r="D64"/>
  <c r="F64"/>
  <c r="E64"/>
  <c r="C6"/>
  <c r="D6"/>
  <c r="C10"/>
  <c r="D10"/>
  <c r="C13"/>
  <c r="D13"/>
  <c r="C17"/>
  <c r="D17"/>
  <c r="C43"/>
  <c r="D43"/>
  <c r="D56" s="1"/>
  <c r="G44"/>
  <c r="F52"/>
  <c r="H52"/>
  <c r="J52"/>
  <c r="L52"/>
  <c r="N52"/>
  <c r="P52"/>
  <c r="E52"/>
  <c r="H55"/>
  <c r="I55"/>
  <c r="I52" s="1"/>
  <c r="J55"/>
  <c r="K55"/>
  <c r="K52" s="1"/>
  <c r="L55"/>
  <c r="M55"/>
  <c r="M52" s="1"/>
  <c r="N55"/>
  <c r="O55"/>
  <c r="O52" s="1"/>
  <c r="P55"/>
  <c r="Q55"/>
  <c r="Q52" s="1"/>
  <c r="F55"/>
  <c r="F44" s="1"/>
  <c r="G55"/>
  <c r="G52" s="1"/>
  <c r="E55"/>
  <c r="E44" s="1"/>
  <c r="H44"/>
  <c r="I44"/>
  <c r="J44"/>
  <c r="K44"/>
  <c r="L44"/>
  <c r="M44"/>
  <c r="N44"/>
  <c r="O44"/>
  <c r="P44"/>
  <c r="F46"/>
  <c r="G46"/>
  <c r="H46"/>
  <c r="I46"/>
  <c r="J46"/>
  <c r="K46"/>
  <c r="L46"/>
  <c r="M46"/>
  <c r="N46"/>
  <c r="O46"/>
  <c r="P46"/>
  <c r="Q46"/>
  <c r="E46"/>
  <c r="F45"/>
  <c r="G45"/>
  <c r="H45"/>
  <c r="I45"/>
  <c r="J45"/>
  <c r="K45"/>
  <c r="L45"/>
  <c r="M45"/>
  <c r="N45"/>
  <c r="O45"/>
  <c r="P45"/>
  <c r="Q45"/>
  <c r="E45"/>
  <c r="G40"/>
  <c r="H40"/>
  <c r="I40"/>
  <c r="J40"/>
  <c r="K40"/>
  <c r="L40"/>
  <c r="M40"/>
  <c r="N40"/>
  <c r="O40"/>
  <c r="P40"/>
  <c r="Q40"/>
  <c r="F40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E31"/>
  <c r="E30"/>
  <c r="G39"/>
  <c r="H39"/>
  <c r="I39"/>
  <c r="J39"/>
  <c r="K39"/>
  <c r="L39"/>
  <c r="M39"/>
  <c r="N39"/>
  <c r="O39"/>
  <c r="P39"/>
  <c r="Q39"/>
  <c r="F39"/>
  <c r="E39"/>
  <c r="F35"/>
  <c r="G35"/>
  <c r="H35"/>
  <c r="I35"/>
  <c r="J35"/>
  <c r="K35"/>
  <c r="L35"/>
  <c r="M35"/>
  <c r="N35"/>
  <c r="O35"/>
  <c r="P35"/>
  <c r="Q35"/>
  <c r="E35"/>
  <c r="C32"/>
  <c r="F33"/>
  <c r="F32" s="1"/>
  <c r="G33"/>
  <c r="G32" s="1"/>
  <c r="H33"/>
  <c r="I33"/>
  <c r="I32" s="1"/>
  <c r="J33"/>
  <c r="J32" s="1"/>
  <c r="K33"/>
  <c r="K32" s="1"/>
  <c r="L33"/>
  <c r="L32" s="1"/>
  <c r="M33"/>
  <c r="M32" s="1"/>
  <c r="N33"/>
  <c r="N32" s="1"/>
  <c r="O33"/>
  <c r="O32" s="1"/>
  <c r="P33"/>
  <c r="P32" s="1"/>
  <c r="Q33"/>
  <c r="Q32" s="1"/>
  <c r="E33"/>
  <c r="E32" s="1"/>
  <c r="D19"/>
  <c r="D18" s="1"/>
  <c r="C19"/>
  <c r="G27"/>
  <c r="G19" s="1"/>
  <c r="G18" s="1"/>
  <c r="H27"/>
  <c r="H19" s="1"/>
  <c r="I27"/>
  <c r="I19" s="1"/>
  <c r="I18" s="1"/>
  <c r="J27"/>
  <c r="J19" s="1"/>
  <c r="K27"/>
  <c r="K19" s="1"/>
  <c r="K18" s="1"/>
  <c r="L27"/>
  <c r="L19" s="1"/>
  <c r="M27"/>
  <c r="M19" s="1"/>
  <c r="N27"/>
  <c r="N19" s="1"/>
  <c r="O27"/>
  <c r="O19" s="1"/>
  <c r="P27"/>
  <c r="P19" s="1"/>
  <c r="Q27"/>
  <c r="Q19" s="1"/>
  <c r="F27"/>
  <c r="F19" s="1"/>
  <c r="E27"/>
  <c r="E19" s="1"/>
  <c r="D57"/>
  <c r="C57"/>
  <c r="C56"/>
  <c r="F59"/>
  <c r="G59"/>
  <c r="H59"/>
  <c r="I59"/>
  <c r="J59"/>
  <c r="K59"/>
  <c r="L59"/>
  <c r="M59"/>
  <c r="N59"/>
  <c r="O59"/>
  <c r="P59"/>
  <c r="Q59"/>
  <c r="F60"/>
  <c r="G60"/>
  <c r="H60"/>
  <c r="I60"/>
  <c r="J60"/>
  <c r="K60"/>
  <c r="L60"/>
  <c r="M60"/>
  <c r="N60"/>
  <c r="O60"/>
  <c r="P60"/>
  <c r="Q60"/>
  <c r="E60"/>
  <c r="E59"/>
  <c r="D80"/>
  <c r="C80"/>
  <c r="E82"/>
  <c r="F81"/>
  <c r="G81"/>
  <c r="H81"/>
  <c r="I81"/>
  <c r="J81"/>
  <c r="K81"/>
  <c r="L81"/>
  <c r="M81"/>
  <c r="N81"/>
  <c r="O81"/>
  <c r="P81"/>
  <c r="Q81"/>
  <c r="E81"/>
  <c r="D76"/>
  <c r="C76"/>
  <c r="D75"/>
  <c r="C75"/>
  <c r="F12"/>
  <c r="E12"/>
  <c r="F7"/>
  <c r="G7"/>
  <c r="H7"/>
  <c r="I7"/>
  <c r="J7"/>
  <c r="K7"/>
  <c r="L7"/>
  <c r="M7"/>
  <c r="N7"/>
  <c r="O7"/>
  <c r="P7"/>
  <c r="Q7"/>
  <c r="F8"/>
  <c r="G8"/>
  <c r="H8"/>
  <c r="I8"/>
  <c r="J8"/>
  <c r="K8"/>
  <c r="L8"/>
  <c r="M8"/>
  <c r="N8"/>
  <c r="O8"/>
  <c r="P8"/>
  <c r="Q8"/>
  <c r="F9"/>
  <c r="G9"/>
  <c r="H9"/>
  <c r="I9"/>
  <c r="J9"/>
  <c r="K9"/>
  <c r="L9"/>
  <c r="M9"/>
  <c r="N9"/>
  <c r="O9"/>
  <c r="P9"/>
  <c r="Q9"/>
  <c r="E8"/>
  <c r="E9"/>
  <c r="E7"/>
  <c r="E35" i="1"/>
  <c r="G82" i="4" s="1"/>
  <c r="F35" i="1"/>
  <c r="H82" i="4" s="1"/>
  <c r="G35" i="1"/>
  <c r="I82" i="4" s="1"/>
  <c r="H35" i="1"/>
  <c r="J82" i="4" s="1"/>
  <c r="I35" i="1"/>
  <c r="K82" i="4" s="1"/>
  <c r="J35" i="1"/>
  <c r="L82" i="4" s="1"/>
  <c r="K35" i="1"/>
  <c r="M82" i="4" s="1"/>
  <c r="L35" i="1"/>
  <c r="N82" i="4" s="1"/>
  <c r="M35" i="1"/>
  <c r="O82" i="4" s="1"/>
  <c r="N35" i="1"/>
  <c r="P82" i="4" s="1"/>
  <c r="O35" i="1"/>
  <c r="Q82" i="4" s="1"/>
  <c r="D35" i="1"/>
  <c r="F82" i="4" s="1"/>
  <c r="E34" i="1"/>
  <c r="G62" i="4" s="1"/>
  <c r="F34" i="1"/>
  <c r="H62" i="4" s="1"/>
  <c r="G34" i="1"/>
  <c r="I62" i="4" s="1"/>
  <c r="H34" i="1"/>
  <c r="J62" i="4" s="1"/>
  <c r="I34" i="1"/>
  <c r="K62" i="4" s="1"/>
  <c r="J34" i="1"/>
  <c r="L62" i="4" s="1"/>
  <c r="K34" i="1"/>
  <c r="M62" i="4" s="1"/>
  <c r="L34" i="1"/>
  <c r="N62" i="4" s="1"/>
  <c r="M34" i="1"/>
  <c r="O62" i="4" s="1"/>
  <c r="N34" i="1"/>
  <c r="P62" i="4" s="1"/>
  <c r="O34" i="1"/>
  <c r="Q62" i="4" s="1"/>
  <c r="D34" i="1"/>
  <c r="F62" i="4" s="1"/>
  <c r="C45" i="1"/>
  <c r="C57"/>
  <c r="H32" i="4" l="1"/>
  <c r="Q80"/>
  <c r="O80"/>
  <c r="M80"/>
  <c r="K80"/>
  <c r="I80"/>
  <c r="G80"/>
  <c r="E80"/>
  <c r="E18"/>
  <c r="Q18"/>
  <c r="O18"/>
  <c r="M18"/>
  <c r="P43"/>
  <c r="N43"/>
  <c r="L43"/>
  <c r="J43"/>
  <c r="H43"/>
  <c r="G43"/>
  <c r="P58"/>
  <c r="N58"/>
  <c r="L58"/>
  <c r="J58"/>
  <c r="J78" s="1"/>
  <c r="H58"/>
  <c r="P80"/>
  <c r="N80"/>
  <c r="L80"/>
  <c r="J80"/>
  <c r="H80"/>
  <c r="F80"/>
  <c r="Q58"/>
  <c r="Q78" s="1"/>
  <c r="O58"/>
  <c r="M58"/>
  <c r="K58"/>
  <c r="I58"/>
  <c r="I78" s="1"/>
  <c r="G58"/>
  <c r="E6"/>
  <c r="C18"/>
  <c r="M78"/>
  <c r="P78"/>
  <c r="F18"/>
  <c r="P18"/>
  <c r="N18"/>
  <c r="L18"/>
  <c r="J18"/>
  <c r="H18"/>
  <c r="Q43"/>
  <c r="O43"/>
  <c r="M43"/>
  <c r="K43"/>
  <c r="I43"/>
  <c r="P6"/>
  <c r="L6"/>
  <c r="Q6"/>
  <c r="O6"/>
  <c r="M6"/>
  <c r="K6"/>
  <c r="I6"/>
  <c r="G6"/>
  <c r="N6"/>
  <c r="J6"/>
  <c r="H6"/>
  <c r="F6"/>
  <c r="E43"/>
  <c r="E57" s="1"/>
  <c r="F43"/>
  <c r="E58"/>
  <c r="E76" s="1"/>
  <c r="F58"/>
  <c r="F75" s="1"/>
  <c r="G56"/>
  <c r="F56"/>
  <c r="F57"/>
  <c r="O13" i="1"/>
  <c r="O22"/>
  <c r="O30"/>
  <c r="O58"/>
  <c r="N13"/>
  <c r="N22"/>
  <c r="N30"/>
  <c r="E56" i="4" l="1"/>
  <c r="E75"/>
  <c r="F76"/>
  <c r="G57"/>
  <c r="K79"/>
  <c r="Q79"/>
  <c r="H79"/>
  <c r="J79"/>
  <c r="L79"/>
  <c r="N79"/>
  <c r="P79"/>
  <c r="G75"/>
  <c r="I79"/>
  <c r="M79"/>
  <c r="O79"/>
  <c r="K78"/>
  <c r="H78"/>
  <c r="L78"/>
  <c r="N78"/>
  <c r="G76"/>
  <c r="O78"/>
  <c r="O21" i="1"/>
  <c r="N21"/>
  <c r="N58"/>
  <c r="D7"/>
  <c r="E8" i="2"/>
  <c r="D3" i="1" l="1"/>
  <c r="D4"/>
  <c r="F7" i="3"/>
  <c r="G7"/>
  <c r="H7"/>
  <c r="I7"/>
  <c r="J7"/>
  <c r="K7"/>
  <c r="E7"/>
  <c r="F7" i="1"/>
  <c r="G7" s="1"/>
  <c r="H7" s="1"/>
  <c r="I7" s="1"/>
  <c r="J7" s="1"/>
  <c r="K7" s="1"/>
  <c r="L7" s="1"/>
  <c r="M7" s="1"/>
  <c r="N7" s="1"/>
  <c r="G30"/>
  <c r="F30"/>
  <c r="E30"/>
  <c r="D30"/>
  <c r="C30"/>
  <c r="D22"/>
  <c r="D45" s="1"/>
  <c r="E22"/>
  <c r="F22"/>
  <c r="G22"/>
  <c r="H22"/>
  <c r="I22"/>
  <c r="J22"/>
  <c r="K22"/>
  <c r="L22"/>
  <c r="M22"/>
  <c r="C22"/>
  <c r="C58" s="1"/>
  <c r="E4"/>
  <c r="E11"/>
  <c r="F11" s="1"/>
  <c r="G11" s="1"/>
  <c r="H11" s="1"/>
  <c r="I11" s="1"/>
  <c r="J11" s="1"/>
  <c r="K11" s="1"/>
  <c r="L11" s="1"/>
  <c r="M11" s="1"/>
  <c r="N11" s="1"/>
  <c r="O11" s="1"/>
  <c r="E10"/>
  <c r="F10" s="1"/>
  <c r="G10" s="1"/>
  <c r="H10" s="1"/>
  <c r="I10" s="1"/>
  <c r="J10" s="1"/>
  <c r="K10" s="1"/>
  <c r="L10" s="1"/>
  <c r="M10" s="1"/>
  <c r="N10" s="1"/>
  <c r="N6" l="1"/>
  <c r="N49" s="1"/>
  <c r="O7"/>
  <c r="O6" s="1"/>
  <c r="O49" s="1"/>
  <c r="O10"/>
  <c r="N54"/>
  <c r="P11" i="4" s="1"/>
  <c r="N16" i="1"/>
  <c r="N20" s="1"/>
  <c r="N39" s="1"/>
  <c r="N40" s="1"/>
  <c r="P12" i="4" s="1"/>
  <c r="E45" i="1"/>
  <c r="F45" s="1"/>
  <c r="G45" s="1"/>
  <c r="H45" s="1"/>
  <c r="I45" s="1"/>
  <c r="J45" s="1"/>
  <c r="K45" s="1"/>
  <c r="L45" s="1"/>
  <c r="M45" s="1"/>
  <c r="N45" s="1"/>
  <c r="O45" s="1"/>
  <c r="D12"/>
  <c r="E12" s="1"/>
  <c r="F12" s="1"/>
  <c r="G12" s="1"/>
  <c r="H12" s="1"/>
  <c r="I12" s="1"/>
  <c r="J12" s="1"/>
  <c r="K12" s="1"/>
  <c r="L12" s="1"/>
  <c r="M12" s="1"/>
  <c r="N12" s="1"/>
  <c r="O12" s="1"/>
  <c r="P10" i="4" l="1"/>
  <c r="P17" s="1"/>
  <c r="P14"/>
  <c r="P13" s="1"/>
  <c r="N43" i="1"/>
  <c r="N55"/>
  <c r="N56" s="1"/>
  <c r="N59" s="1"/>
  <c r="O54"/>
  <c r="Q11" i="4" s="1"/>
  <c r="O16" i="1"/>
  <c r="O20" s="1"/>
  <c r="O39" s="1"/>
  <c r="F4"/>
  <c r="H30"/>
  <c r="H54" s="1"/>
  <c r="J11" i="4" s="1"/>
  <c r="I30" i="1"/>
  <c r="I54" s="1"/>
  <c r="K11" i="4" s="1"/>
  <c r="J30" i="1"/>
  <c r="J54" s="1"/>
  <c r="L11" i="4" s="1"/>
  <c r="K30" i="1"/>
  <c r="K54" s="1"/>
  <c r="M11" i="4" s="1"/>
  <c r="L30" i="1"/>
  <c r="M30"/>
  <c r="M54" s="1"/>
  <c r="O11" i="4" s="1"/>
  <c r="D13" i="1"/>
  <c r="E13"/>
  <c r="F13"/>
  <c r="G13"/>
  <c r="H13"/>
  <c r="I13"/>
  <c r="J13"/>
  <c r="K13"/>
  <c r="L13"/>
  <c r="M13"/>
  <c r="L54"/>
  <c r="N11" i="4" s="1"/>
  <c r="H58" i="1"/>
  <c r="I58"/>
  <c r="J58"/>
  <c r="K58"/>
  <c r="L58"/>
  <c r="M58"/>
  <c r="P77" i="4" l="1"/>
  <c r="O14"/>
  <c r="O13" s="1"/>
  <c r="N77"/>
  <c r="M14"/>
  <c r="M13" s="1"/>
  <c r="Q14"/>
  <c r="Q13" s="1"/>
  <c r="O77"/>
  <c r="N14"/>
  <c r="N13" s="1"/>
  <c r="M77"/>
  <c r="L14"/>
  <c r="L13" s="1"/>
  <c r="J14"/>
  <c r="J13" s="1"/>
  <c r="Q77"/>
  <c r="K14"/>
  <c r="K13" s="1"/>
  <c r="O40" i="1"/>
  <c r="G4"/>
  <c r="L21"/>
  <c r="J21"/>
  <c r="H21"/>
  <c r="M21"/>
  <c r="K21"/>
  <c r="I21"/>
  <c r="O55" l="1"/>
  <c r="O56" s="1"/>
  <c r="O59" s="1"/>
  <c r="Q12" i="4"/>
  <c r="Q10" s="1"/>
  <c r="Q17" s="1"/>
  <c r="O43" i="1"/>
  <c r="H4"/>
  <c r="H6"/>
  <c r="H49" l="1"/>
  <c r="H16"/>
  <c r="H20" s="1"/>
  <c r="H39" s="1"/>
  <c r="I4"/>
  <c r="I6"/>
  <c r="H40" l="1"/>
  <c r="I16"/>
  <c r="I20" s="1"/>
  <c r="I39" s="1"/>
  <c r="I49"/>
  <c r="J6"/>
  <c r="D8" i="2"/>
  <c r="C8"/>
  <c r="H55" i="1" l="1"/>
  <c r="H56" s="1"/>
  <c r="H59" s="1"/>
  <c r="J12" i="4"/>
  <c r="J10" s="1"/>
  <c r="J17" s="1"/>
  <c r="K50" i="1"/>
  <c r="C10" i="2"/>
  <c r="C50" i="1"/>
  <c r="I40"/>
  <c r="H43"/>
  <c r="J16"/>
  <c r="J20" s="1"/>
  <c r="J39" s="1"/>
  <c r="J49"/>
  <c r="K6"/>
  <c r="F58"/>
  <c r="G58"/>
  <c r="D54"/>
  <c r="E54"/>
  <c r="F54"/>
  <c r="H11" i="4" s="1"/>
  <c r="G54" i="1"/>
  <c r="I11" i="4" s="1"/>
  <c r="D6" i="1"/>
  <c r="E6"/>
  <c r="F6"/>
  <c r="G6"/>
  <c r="I14" i="4" l="1"/>
  <c r="I13" s="1"/>
  <c r="K77"/>
  <c r="L77"/>
  <c r="G11"/>
  <c r="I55" i="1"/>
  <c r="I56" s="1"/>
  <c r="I59" s="1"/>
  <c r="K12" i="4"/>
  <c r="K10" s="1"/>
  <c r="K17" s="1"/>
  <c r="H14"/>
  <c r="H13" s="1"/>
  <c r="D55" i="1"/>
  <c r="F11" i="4"/>
  <c r="J50" i="1"/>
  <c r="L50"/>
  <c r="G50"/>
  <c r="I50"/>
  <c r="I51" s="1"/>
  <c r="H50"/>
  <c r="H51" s="1"/>
  <c r="J40"/>
  <c r="I43"/>
  <c r="J51"/>
  <c r="M6"/>
  <c r="L6"/>
  <c r="K16"/>
  <c r="K20" s="1"/>
  <c r="K39" s="1"/>
  <c r="K49"/>
  <c r="K51" s="1"/>
  <c r="D56"/>
  <c r="G16"/>
  <c r="G20" s="1"/>
  <c r="F16"/>
  <c r="F20" s="1"/>
  <c r="E53"/>
  <c r="E16"/>
  <c r="E20" s="1"/>
  <c r="D53"/>
  <c r="D16"/>
  <c r="D20" s="1"/>
  <c r="E58"/>
  <c r="D58"/>
  <c r="G21"/>
  <c r="F21"/>
  <c r="E21"/>
  <c r="D21"/>
  <c r="D52" s="1"/>
  <c r="C21"/>
  <c r="G14" i="4" l="1"/>
  <c r="G13" s="1"/>
  <c r="J77"/>
  <c r="J55" i="1"/>
  <c r="J56" s="1"/>
  <c r="J59" s="1"/>
  <c r="L12" i="4"/>
  <c r="L10" s="1"/>
  <c r="L17" s="1"/>
  <c r="F10"/>
  <c r="F17" s="1"/>
  <c r="F14"/>
  <c r="F13" s="1"/>
  <c r="I77"/>
  <c r="M50" i="1"/>
  <c r="O50"/>
  <c r="O51" s="1"/>
  <c r="N50"/>
  <c r="N51" s="1"/>
  <c r="E49"/>
  <c r="E52"/>
  <c r="K40"/>
  <c r="J43"/>
  <c r="L16"/>
  <c r="L20" s="1"/>
  <c r="L39" s="1"/>
  <c r="L49"/>
  <c r="L51" s="1"/>
  <c r="M16"/>
  <c r="M20" s="1"/>
  <c r="M39" s="1"/>
  <c r="M49"/>
  <c r="D59"/>
  <c r="G49"/>
  <c r="G51" s="1"/>
  <c r="G39"/>
  <c r="F49"/>
  <c r="F39"/>
  <c r="E39"/>
  <c r="D49"/>
  <c r="D39"/>
  <c r="D43" s="1"/>
  <c r="E43" l="1"/>
  <c r="E40"/>
  <c r="K55"/>
  <c r="K56" s="1"/>
  <c r="K59" s="1"/>
  <c r="M12" i="4"/>
  <c r="M10" s="1"/>
  <c r="M17" s="1"/>
  <c r="K43" i="1"/>
  <c r="M40"/>
  <c r="L40"/>
  <c r="G40"/>
  <c r="F40"/>
  <c r="M51"/>
  <c r="C6"/>
  <c r="C52" s="1"/>
  <c r="F55" l="1"/>
  <c r="F56" s="1"/>
  <c r="F59" s="1"/>
  <c r="H12" i="4"/>
  <c r="H10" s="1"/>
  <c r="H17" s="1"/>
  <c r="L55" i="1"/>
  <c r="L56" s="1"/>
  <c r="L59" s="1"/>
  <c r="N12" i="4"/>
  <c r="N10" s="1"/>
  <c r="N17" s="1"/>
  <c r="G55" i="1"/>
  <c r="G56" s="1"/>
  <c r="G59" s="1"/>
  <c r="I12" i="4"/>
  <c r="I10" s="1"/>
  <c r="I17" s="1"/>
  <c r="M55" i="1"/>
  <c r="M56" s="1"/>
  <c r="M59" s="1"/>
  <c r="O12" i="4"/>
  <c r="O10" s="1"/>
  <c r="O17" s="1"/>
  <c r="G12"/>
  <c r="G10" s="1"/>
  <c r="G17" s="1"/>
  <c r="E55" i="1"/>
  <c r="E56" s="1"/>
  <c r="E59" s="1"/>
  <c r="G43"/>
  <c r="L43"/>
  <c r="M43"/>
  <c r="F43"/>
  <c r="C49"/>
  <c r="C51" s="1"/>
  <c r="C53"/>
  <c r="C13" l="1"/>
  <c r="C54" l="1"/>
  <c r="E11" i="4" s="1"/>
  <c r="C16" i="1"/>
  <c r="C20" s="1"/>
  <c r="C39" s="1"/>
  <c r="H77" i="4" l="1"/>
  <c r="E10"/>
  <c r="E17" s="1"/>
  <c r="E14"/>
  <c r="E13" s="1"/>
  <c r="D50" i="1"/>
  <c r="D51" s="1"/>
  <c r="C55"/>
  <c r="E50"/>
  <c r="E51" s="1"/>
  <c r="F50"/>
  <c r="F51" s="1"/>
  <c r="C43"/>
  <c r="C56" l="1"/>
  <c r="C59" s="1"/>
</calcChain>
</file>

<file path=xl/sharedStrings.xml><?xml version="1.0" encoding="utf-8"?>
<sst xmlns="http://schemas.openxmlformats.org/spreadsheetml/2006/main" count="273" uniqueCount="218">
  <si>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</si>
  <si>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</si>
  <si>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</si>
  <si>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</si>
  <si>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</si>
  <si>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</si>
  <si>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</si>
  <si>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</si>
  <si>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</si>
  <si>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</si>
  <si>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</si>
  <si>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</si>
  <si>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</si>
  <si>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</si>
  <si>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</si>
  <si>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</si>
  <si>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</si>
  <si>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</si>
  <si>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</si>
  <si>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</si>
  <si>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</si>
  <si>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</si>
  <si>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</si>
  <si>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</si>
  <si>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</si>
  <si>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</si>
  <si>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</si>
  <si>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</si>
  <si>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</si>
  <si>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</si>
  <si>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</si>
  <si>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</si>
  <si>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</si>
  <si>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</si>
  <si>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</si>
  <si>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</si>
  <si>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</si>
  <si>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</si>
  <si>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</si>
  <si>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</si>
  <si>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</si>
  <si>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</si>
  <si>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</si>
  <si>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</si>
  <si>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</si>
  <si>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</si>
  <si>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</si>
  <si>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</si>
  <si>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</si>
  <si>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</si>
  <si>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</si>
  <si>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</si>
  <si>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</si>
  <si>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</si>
  <si>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</si>
  <si>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</si>
  <si>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</si>
  <si>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</si>
  <si>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</si>
  <si>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</si>
  <si>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</si>
  <si>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</si>
  <si>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</si>
  <si>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</si>
  <si>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</si>
  <si>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</si>
  <si>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</si>
  <si>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</si>
  <si>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</si>
  <si>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</si>
  <si>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</si>
  <si>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</si>
  <si>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</si>
  <si>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</si>
  <si>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</si>
  <si>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</si>
  <si>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</si>
  <si>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</si>
  <si>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</si>
  <si>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</si>
  <si>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</si>
  <si>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</si>
  <si>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</si>
  <si>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</si>
  <si>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</si>
  <si>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</si>
  <si>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</si>
  <si>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</si>
  <si>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</si>
  <si>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</si>
  <si>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</si>
  <si>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</si>
  <si>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</si>
  <si>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</si>
  <si>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</si>
  <si>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</si>
  <si>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</si>
  <si>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</si>
  <si>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</si>
  <si>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</si>
  <si>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</si>
  <si>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</si>
  <si>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</si>
  <si>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</si>
  <si>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</si>
  <si>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</si>
  <si>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</si>
  <si>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</si>
  <si>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</si>
  <si>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</si>
  <si>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</si>
  <si>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t>pozyczka2003</t>
  </si>
  <si>
    <t xml:space="preserve">kredyt euro </t>
  </si>
  <si>
    <t>obligacje2009</t>
  </si>
  <si>
    <t>obligacje2010</t>
  </si>
  <si>
    <t>prowizje</t>
  </si>
  <si>
    <t xml:space="preserve">Wydatki bieżące </t>
  </si>
  <si>
    <t>2010 3kw</t>
  </si>
  <si>
    <t>2015 r.</t>
  </si>
  <si>
    <t>2016 r.</t>
  </si>
  <si>
    <t>2017 r.</t>
  </si>
  <si>
    <t>2018 r.</t>
  </si>
  <si>
    <t>2019 r.</t>
  </si>
  <si>
    <t>2020 r.</t>
  </si>
  <si>
    <t>2021 r.</t>
  </si>
  <si>
    <t>obligacje 2011</t>
  </si>
  <si>
    <t>obligaacje 2011</t>
  </si>
  <si>
    <t>obligacje 2012</t>
  </si>
  <si>
    <r>
      <t xml:space="preserve">  łączna kwota wyłączeń z art. 243 ust. 3 pkt 1 ufp oraz
  z art. 170 ust. 3 sufp</t>
    </r>
    <r>
      <rPr>
        <b/>
        <vertAlign val="superscript"/>
        <sz val="10"/>
        <rFont val="Arial"/>
        <family val="2"/>
        <charset val="238"/>
      </rPr>
      <t>12)</t>
    </r>
  </si>
  <si>
    <t>obligacje 2010 UE</t>
  </si>
  <si>
    <t>2022 r.</t>
  </si>
  <si>
    <t>2023 r.</t>
  </si>
  <si>
    <t xml:space="preserve">Wieloletnia prognoza finansowa Gminy Widuchowa </t>
  </si>
  <si>
    <t xml:space="preserve">  w zł  </t>
  </si>
  <si>
    <t>Wykonanie</t>
  </si>
  <si>
    <t>Przewidywane wykonanie</t>
  </si>
  <si>
    <r>
      <t xml:space="preserve">A. Dochody </t>
    </r>
    <r>
      <rPr>
        <sz val="10"/>
        <rFont val="Arial CE"/>
        <charset val="238"/>
      </rPr>
      <t>(A1+A2)</t>
    </r>
  </si>
  <si>
    <t>A1. Dochody bieżące</t>
  </si>
  <si>
    <t>A2. Dochody majątkowe</t>
  </si>
  <si>
    <r>
      <t xml:space="preserve">B. Wydatki  </t>
    </r>
    <r>
      <rPr>
        <sz val="10"/>
        <rFont val="Arial CE"/>
        <family val="2"/>
        <charset val="238"/>
      </rPr>
      <t>(B1+B2)</t>
    </r>
  </si>
  <si>
    <t>B1. Wydatki bieżące</t>
  </si>
  <si>
    <t>B2. Wydatki majątkowe</t>
  </si>
  <si>
    <r>
      <t>C. Finansowanie wydatków bieżących</t>
    </r>
    <r>
      <rPr>
        <b/>
        <sz val="10"/>
        <rFont val="Arial CE"/>
        <charset val="238"/>
      </rPr>
      <t xml:space="preserve"> (</t>
    </r>
    <r>
      <rPr>
        <sz val="10"/>
        <rFont val="Arial CE"/>
        <charset val="238"/>
      </rPr>
      <t>C1+C2+C3)</t>
    </r>
  </si>
  <si>
    <t>C1. Dochody bieżące</t>
  </si>
  <si>
    <t>C2. Nadwyżka z lat ubiegłych</t>
  </si>
  <si>
    <t>C3. Wolne środki</t>
  </si>
  <si>
    <t>D. Nadwyżka/Deficyt (A-B)</t>
  </si>
  <si>
    <t>F11. kredyty
 w tym:</t>
  </si>
  <si>
    <t xml:space="preserve">      F111. zaciągnięte w związku z umową zawartą na realizację programu, 
                projektu lub zadania finansowanego z udziałem środków, o których 
                mowa w art. 5 ust. 3 sufp (art. 5 ust. 1 pkt 2 nufp)</t>
  </si>
  <si>
    <t>F12. pożyczki
w tym:</t>
  </si>
  <si>
    <t xml:space="preserve">      D121. zaciągnięte w związku z umową zawartą na realizację programu, 
                 projektu lub zadania finansowanego z udziałem środków, o których 
                 mowa w art. 5 ust. 3 sufp (art. 5 ust. 1 pkt 2 nufp)</t>
  </si>
  <si>
    <t xml:space="preserve">     F141. środki na pokrycie deficytu</t>
  </si>
  <si>
    <t>F15. obligacje jednostek samorządowych 
        oraz związków komunalnych
w tym:</t>
  </si>
  <si>
    <t xml:space="preserve">     F151. wyemitowane w związku z umową zawartą na realizację programu, 
               projektu lub zadania finansowanego z udziałem środków, o których 
               mowa w art. 5 ust. 3 sufp (art. 5 ust. 1 pkt 2 nufp)</t>
  </si>
  <si>
    <t>F16. prywatyzacja majątku jst</t>
  </si>
  <si>
    <t>F17. inne źródła
w tym:</t>
  </si>
  <si>
    <t xml:space="preserve">       F171. środki na pokrycie deficytu</t>
  </si>
  <si>
    <t>F21. spłaty kredytów
 w tym:</t>
  </si>
  <si>
    <t xml:space="preserve">      F211. zaciągniętych w związku z umową zawartą na realizację programu, 
                projektu lub zadania finansowanego z udziałem środków, o których 
                mowa w art. 5 ust. 3 sufp (art. 5 ust. 1 pkt 2 nufp)</t>
  </si>
  <si>
    <t>F22. spłaty pożyczek
w tym:</t>
  </si>
  <si>
    <t xml:space="preserve">      F221. zaciągniętych w związku z umową zawartą na realizację programu,
                projektu lub zadania finansowanego z udziałem środków, o których 
                mowa w art. 5 ust. 3 sufp (art. 5 ust. 1 pkt 2 nufp)</t>
  </si>
  <si>
    <t>F25. wykup obligacji samorządowych
w tym:</t>
  </si>
  <si>
    <t xml:space="preserve">      F251. wyemitowanych w związku z umową zawartą na realizację 
           programu, projektu lub zadania finansowanego z udziałem środków, 
           o których mowa w art. 5 ust. 3 sufp (art. 5 ust. 1 pkt 2 nufp)</t>
  </si>
  <si>
    <t>F26. inne cele</t>
  </si>
  <si>
    <t xml:space="preserve"> 1) wyemitowane papiery wartościowe, </t>
  </si>
  <si>
    <t xml:space="preserve"> 2) zaciągnięte kredyty (art. 89 i art. 90 nufp),</t>
  </si>
  <si>
    <t xml:space="preserve"> 3) zaciągnięte pożyczki (art. 89 i art. 90 nufp),</t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</si>
  <si>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</si>
  <si>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</si>
  <si>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t xml:space="preserve"> 7) zobowiązania związane z umową zawartą na realizację 
     programu, projektu lub zadania finansowanego 
     z udziałem środków, o których mowa w art. 5 ust. 3 sufp 
    (art. 5 ust. 1 pkt 2 nufp) (a+b+c):</t>
  </si>
  <si>
    <t xml:space="preserve">      a) kredyty,</t>
  </si>
  <si>
    <t xml:space="preserve">      b) pożyczki,</t>
  </si>
  <si>
    <t xml:space="preserve">      c) emitowane papiery wartościowe.</t>
  </si>
  <si>
    <t xml:space="preserve"> 6) spłaty zobowiązań związanych z umową zawartą na 
   realizację programu, projektu lub zadania finansowanego 
   z udziałem środków, o których mowa w art. 5 ust. 3 sufp 
   (a+b+c+d):</t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</si>
  <si>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</si>
  <si>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</si>
  <si>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</si>
  <si>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</si>
  <si>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t xml:space="preserve"> 6) spłaty zobowiązań związanych z umową zawartą na 
  realizację programu, projektu lub zadania finansowanego z
 udziałem środków, o których mowa w art. 5 ust. 1 pkt 2 nufp 
  (a+b+c+d):</t>
  </si>
  <si>
    <t xml:space="preserve">     a) spłaty rat kredytów  (bez odsetek)</t>
  </si>
  <si>
    <t xml:space="preserve">     b) spłaty rat pożyczek  (bez odsetek)</t>
  </si>
  <si>
    <t xml:space="preserve">     c) wykup papierów wartościowych  (bez odsetek)</t>
  </si>
  <si>
    <t>7) spłaty (wykup) zobowiązań współtworzonego związku</t>
  </si>
  <si>
    <t>M. DANE DOTYCZĄCE SPŁATY
    ZACIĄGANEGO ZOBOWIĄZANIA - z tego:</t>
  </si>
  <si>
    <t xml:space="preserve">         1) spłata podstawowych rat (wykupu pap. wart.)</t>
  </si>
  <si>
    <t xml:space="preserve">         2) odsetki </t>
  </si>
  <si>
    <r>
      <t>1)</t>
    </r>
    <r>
      <rPr>
        <sz val="10"/>
        <rFont val="Arial CE"/>
        <charset val="238"/>
      </rPr>
      <t xml:space="preserve">  - podać dane na poszczególne lata objęte spłatą całego zadłużenia
</t>
    </r>
    <r>
      <rPr>
        <vertAlign val="superscript"/>
        <sz val="10"/>
        <rFont val="Arial CE"/>
        <charset val="238"/>
      </rPr>
      <t xml:space="preserve">2) </t>
    </r>
    <r>
      <rPr>
        <sz val="10"/>
        <rFont val="Arial CE"/>
        <charset val="238"/>
      </rPr>
      <t xml:space="preserve"> - depozyty przyjęte do budżetu 
</t>
    </r>
    <r>
      <rPr>
        <vertAlign val="superscript"/>
        <sz val="10"/>
        <rFont val="Arial CE"/>
        <charset val="238"/>
      </rPr>
      <t>3)</t>
    </r>
    <r>
      <rPr>
        <sz val="10"/>
        <rFont val="Arial CE"/>
        <charset val="238"/>
      </rPr>
      <t xml:space="preserve">  - prawa strona wzoru (art. 243 nufp)
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 - lewa strona wzoru (art. 243 nufp)
</t>
    </r>
    <r>
      <rPr>
        <vertAlign val="superscript"/>
        <sz val="10"/>
        <rFont val="Arial CE"/>
        <charset val="238"/>
      </rPr>
      <t>5)</t>
    </r>
    <r>
      <rPr>
        <sz val="10"/>
        <rFont val="Arial CE"/>
        <charset val="238"/>
      </rPr>
      <t xml:space="preserve">  - rozporządzenie Ministra Finansów z dnia 23 grudnia 2010 r. w sprawie szczegółowego sposobu klasyfikacji tytułów dłużnych zaliczanych do państwowego długu publicznego, w tym do długu Skarbu Państwa (Dz. U. Nr 252, poz. 1692)</t>
    </r>
  </si>
  <si>
    <r>
      <t xml:space="preserve">_________________________________________
        </t>
    </r>
    <r>
      <rPr>
        <i/>
        <sz val="10"/>
        <rFont val="Arial CE"/>
        <family val="2"/>
        <charset val="238"/>
      </rPr>
      <t>(pieczęć  j.s.t.)</t>
    </r>
  </si>
  <si>
    <r>
      <t xml:space="preserve">       w tym ze sprzedaży majątku (</t>
    </r>
    <r>
      <rPr>
        <sz val="10"/>
        <rFont val="Czcionka tekstu podstawowego"/>
        <charset val="238"/>
      </rPr>
      <t>§§</t>
    </r>
    <r>
      <rPr>
        <sz val="10"/>
        <rFont val="Arial CE"/>
        <family val="2"/>
        <charset val="238"/>
      </rPr>
      <t xml:space="preserve"> 077, 078 , 087)</t>
    </r>
  </si>
  <si>
    <r>
      <t xml:space="preserve">E. Finansowanie </t>
    </r>
    <r>
      <rPr>
        <b/>
        <sz val="10"/>
        <rFont val="Arial CE"/>
        <charset val="238"/>
      </rPr>
      <t>(F1-F2)</t>
    </r>
  </si>
  <si>
    <r>
      <t xml:space="preserve">F1. Przychody ogółem 
    </t>
    </r>
    <r>
      <rPr>
        <b/>
        <sz val="10"/>
        <rFont val="Arial CE"/>
        <charset val="238"/>
      </rPr>
      <t xml:space="preserve">   </t>
    </r>
    <r>
      <rPr>
        <sz val="10"/>
        <rFont val="Arial CE"/>
        <charset val="238"/>
      </rPr>
      <t>z tego:</t>
    </r>
  </si>
  <si>
    <r>
      <t>F13.</t>
    </r>
    <r>
      <rPr>
        <b/>
        <sz val="10"/>
        <rFont val="Arial CE"/>
        <family val="2"/>
        <charset val="238"/>
      </rPr>
      <t xml:space="preserve"> spłata pożyczek udzielonych</t>
    </r>
  </si>
  <si>
    <r>
      <t>F14.</t>
    </r>
    <r>
      <rPr>
        <b/>
        <sz val="10"/>
        <rFont val="Arial CE"/>
        <family val="2"/>
        <charset val="238"/>
      </rPr>
      <t xml:space="preserve"> nadwyżka z lat ubiegłych
w tym:</t>
    </r>
  </si>
  <si>
    <r>
      <t xml:space="preserve">F2. Rozchody ogółem 
</t>
    </r>
    <r>
      <rPr>
        <b/>
        <sz val="10"/>
        <rFont val="Arial CE"/>
        <charset val="238"/>
      </rPr>
      <t xml:space="preserve">       z tego:</t>
    </r>
  </si>
  <si>
    <r>
      <t>F23</t>
    </r>
    <r>
      <rPr>
        <b/>
        <sz val="10"/>
        <rFont val="Arial CE"/>
        <family val="2"/>
        <charset val="238"/>
      </rPr>
      <t xml:space="preserve">. pożyczki </t>
    </r>
    <r>
      <rPr>
        <b/>
        <sz val="10"/>
        <rFont val="Arial CE"/>
        <charset val="238"/>
      </rPr>
      <t>(udzielone)</t>
    </r>
  </si>
  <si>
    <r>
      <t>F24.</t>
    </r>
    <r>
      <rPr>
        <b/>
        <sz val="10"/>
        <rFont val="Arial CE"/>
        <family val="2"/>
        <charset val="238"/>
      </rPr>
      <t xml:space="preserve"> lokaty w bankach</t>
    </r>
  </si>
  <si>
    <r>
      <t xml:space="preserve">H. DŁUG NA KONIEC ROKU
          </t>
    </r>
    <r>
      <rPr>
        <b/>
        <sz val="10"/>
        <rFont val="Arial CE"/>
        <charset val="238"/>
      </rPr>
      <t>(1+2+3+4+5+6):</t>
    </r>
  </si>
  <si>
    <r>
      <t xml:space="preserve"> 4) inne umowy, o których mowa w § 3 pkt 2 rozporządzenia Ministra Finansów</t>
    </r>
    <r>
      <rPr>
        <b/>
        <vertAlign val="superscript"/>
        <sz val="10"/>
        <rFont val="Czcionka tekstu podstawowego"/>
        <charset val="238"/>
      </rPr>
      <t>5)</t>
    </r>
  </si>
  <si>
    <r>
      <t xml:space="preserve"> 5) przyjęte depozyty</t>
    </r>
    <r>
      <rPr>
        <b/>
        <vertAlign val="superscript"/>
        <sz val="10"/>
        <rFont val="Arial CE"/>
        <charset val="238"/>
      </rPr>
      <t>2)</t>
    </r>
    <r>
      <rPr>
        <b/>
        <sz val="10"/>
        <rFont val="Arial CE"/>
        <family val="2"/>
        <charset val="238"/>
      </rPr>
      <t>,</t>
    </r>
  </si>
  <si>
    <r>
      <t xml:space="preserve"> 6) wymagalne zobowiązania, </t>
    </r>
    <r>
      <rPr>
        <b/>
        <sz val="10"/>
        <rFont val="Arial CE"/>
        <charset val="238"/>
      </rPr>
      <t>w tym:</t>
    </r>
  </si>
  <si>
    <r>
      <t>I.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  <charset val="238"/>
      </rPr>
      <t>nik łącznego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  <charset val="238"/>
      </rPr>
      <t xml:space="preserve">ugu do dochodu 
  </t>
    </r>
    <r>
      <rPr>
        <b/>
        <sz val="10"/>
        <rFont val="Arial CE"/>
        <charset val="238"/>
      </rPr>
      <t xml:space="preserve">   (poz.38</t>
    </r>
    <r>
      <rPr>
        <b/>
        <sz val="10"/>
        <rFont val="Arial CE"/>
        <family val="2"/>
        <charset val="238"/>
      </rPr>
      <t xml:space="preserve"> / poz.1) %</t>
    </r>
  </si>
  <si>
    <r>
      <t>I1.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  <charset val="238"/>
      </rPr>
      <t>nik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  <charset val="238"/>
      </rPr>
      <t xml:space="preserve">ugu do dochodu </t>
    </r>
    <r>
      <rPr>
        <i/>
        <sz val="10"/>
        <rFont val="Arial CE"/>
        <charset val="238"/>
      </rPr>
      <t>(bez poz. 47)</t>
    </r>
    <r>
      <rPr>
        <b/>
        <sz val="10"/>
        <rFont val="Arial CE"/>
        <charset val="238"/>
      </rPr>
      <t xml:space="preserve">
     ((poz.38 (-) poz. 47) / poz.1) %</t>
    </r>
  </si>
  <si>
    <r>
      <t xml:space="preserve">J. OBCIĄŻENIE ROCZNE BUDŻETU
   z tytułu spłaty zadłużenia </t>
    </r>
    <r>
      <rPr>
        <b/>
        <sz val="10"/>
        <rFont val="Arial CE"/>
        <charset val="238"/>
      </rPr>
      <t>(1+2+3+4+5+6+7):</t>
    </r>
  </si>
  <si>
    <r>
      <t xml:space="preserve"> 1)  spłaty rat kredytów </t>
    </r>
    <r>
      <rPr>
        <sz val="10"/>
        <rFont val="Arial CE"/>
        <charset val="238"/>
      </rPr>
      <t xml:space="preserve">(art.82 ust.1 pkt 2 i 3 sufp) 
      (art.89 ust.1 pkt 2 - 4 oraz art. 90 nufp) </t>
    </r>
    <r>
      <rPr>
        <b/>
        <sz val="10"/>
        <rFont val="Arial CE"/>
        <charset val="238"/>
      </rPr>
      <t>z odsetkami</t>
    </r>
    <r>
      <rPr>
        <sz val="10"/>
        <rFont val="Arial CE"/>
        <charset val="238"/>
      </rPr>
      <t>,</t>
    </r>
  </si>
  <si>
    <r>
      <t xml:space="preserve"> 2)  spłaty rat pożyczek </t>
    </r>
    <r>
      <rPr>
        <sz val="10"/>
        <rFont val="Arial CE"/>
        <charset val="238"/>
      </rPr>
      <t xml:space="preserve">(art.82 ust.1 pkt 2 i 3 sufp) 
     (art.89 ust.1 pkt 2 - 4 oraz art. 90 nufp) </t>
    </r>
    <r>
      <rPr>
        <b/>
        <sz val="10"/>
        <rFont val="Arial CE"/>
        <family val="2"/>
        <charset val="238"/>
      </rPr>
      <t>z odsetkami</t>
    </r>
    <r>
      <rPr>
        <sz val="10"/>
        <rFont val="Arial CE"/>
        <charset val="238"/>
      </rPr>
      <t>,</t>
    </r>
  </si>
  <si>
    <r>
      <t xml:space="preserve"> </t>
    </r>
    <r>
      <rPr>
        <b/>
        <sz val="10"/>
        <rFont val="Arial CE"/>
        <charset val="238"/>
      </rPr>
      <t>3)</t>
    </r>
    <r>
      <rPr>
        <b/>
        <sz val="10"/>
        <rFont val="Arial CE"/>
        <family val="2"/>
        <charset val="238"/>
      </rPr>
      <t xml:space="preserve"> potenc. spłaty udzielonych poręczeń
     z należnymi odsetkami,</t>
    </r>
  </si>
  <si>
    <r>
      <t xml:space="preserve"> 4) wykup wyemitowanych papierów wartościowych  
    </t>
    </r>
    <r>
      <rPr>
        <sz val="10"/>
        <rFont val="Arial CE"/>
        <charset val="238"/>
      </rPr>
      <t>(art.82 ust.1 pkt 2 i 3 sufp) (art.89 ust.1 pkt 2 - 4 
    oraz art. 90 nufp)</t>
    </r>
    <r>
      <rPr>
        <b/>
        <sz val="10"/>
        <rFont val="Arial CE"/>
        <family val="2"/>
        <charset val="238"/>
      </rPr>
      <t>, z należnymi odsetkami i dyskontem,</t>
    </r>
  </si>
  <si>
    <r>
      <t xml:space="preserve"> 5) odsetki od kredytów i pożyczek oraz odsetki i dyskonto 
    od papierów wart. wyemitowanych przez jst 
   </t>
    </r>
    <r>
      <rPr>
        <sz val="10"/>
        <rFont val="Arial CE"/>
        <charset val="238"/>
      </rPr>
      <t>(art.82 ust.1 pkt 1 sufp) (art.89 ust.1 pkt 1 nufp)</t>
    </r>
    <r>
      <rPr>
        <b/>
        <sz val="10"/>
        <rFont val="Arial CE"/>
        <family val="2"/>
        <charset val="238"/>
      </rPr>
      <t>,</t>
    </r>
  </si>
  <si>
    <r>
      <t xml:space="preserve">K. Wskaźnik rocznej spłaty łącznego zadłużenia  
    do dochodu </t>
    </r>
    <r>
      <rPr>
        <b/>
        <sz val="10"/>
        <rFont val="Arial CE"/>
        <charset val="238"/>
      </rPr>
      <t xml:space="preserve"> (poz.50 / poz.1) %</t>
    </r>
  </si>
  <si>
    <r>
      <t xml:space="preserve">K1. Wskaźnik rocznej spłaty zadłużenia do 
     dochodu </t>
    </r>
    <r>
      <rPr>
        <i/>
        <sz val="10"/>
        <rFont val="Arial CE"/>
        <charset val="238"/>
      </rPr>
      <t>(bez poz. 56)</t>
    </r>
    <r>
      <rPr>
        <b/>
        <sz val="10"/>
        <rFont val="Arial CE"/>
        <charset val="238"/>
      </rPr>
      <t xml:space="preserve"> ((poz.50 (-) poz. 56) / poz.1) %</t>
    </r>
  </si>
  <si>
    <r>
      <t xml:space="preserve">L1. Relacja z art. 243 nufp </t>
    </r>
    <r>
      <rPr>
        <sz val="10"/>
        <rFont val="Arial CE"/>
        <charset val="238"/>
      </rPr>
      <t>(śr. arytm. z 3 lat poprz.)</t>
    </r>
    <r>
      <rPr>
        <vertAlign val="superscript"/>
        <sz val="10"/>
        <rFont val="Arial CE"/>
        <charset val="238"/>
      </rPr>
      <t>3)</t>
    </r>
  </si>
  <si>
    <r>
      <t xml:space="preserve">L2. Relacja z art. 243 nufp 
</t>
    </r>
    <r>
      <rPr>
        <b/>
        <sz val="10"/>
        <rFont val="Arial CE"/>
        <charset val="238"/>
      </rPr>
      <t xml:space="preserve">      </t>
    </r>
    <r>
      <rPr>
        <sz val="10"/>
        <rFont val="Arial CE"/>
        <charset val="238"/>
      </rPr>
      <t>(dot. danego roku budż./bez wyłączeń (art. 243 ust. 3))</t>
    </r>
    <r>
      <rPr>
        <vertAlign val="superscript"/>
        <sz val="10"/>
        <rFont val="Arial CE"/>
        <charset val="238"/>
      </rPr>
      <t>4)</t>
    </r>
  </si>
  <si>
    <r>
      <t xml:space="preserve">L2. Relacja z art. 243 nufp
</t>
    </r>
    <r>
      <rPr>
        <b/>
        <sz val="10"/>
        <rFont val="Arial CE"/>
        <charset val="238"/>
      </rPr>
      <t xml:space="preserve">      </t>
    </r>
    <r>
      <rPr>
        <sz val="10"/>
        <rFont val="Arial CE"/>
        <charset val="238"/>
      </rPr>
      <t>(dot. danego roku budż./z wyłączeniami (art. 243 ust. 3))</t>
    </r>
    <r>
      <rPr>
        <vertAlign val="superscript"/>
        <sz val="10"/>
        <rFont val="Arial CE"/>
        <charset val="238"/>
      </rPr>
      <t>4)</t>
    </r>
  </si>
  <si>
    <t>G. Umorzenie pożyczki/ operacje niekasowe</t>
  </si>
  <si>
    <t xml:space="preserve">Informacja finansowa
Wójta Gminy Widuchowa
dotycząca wykupu papierów wartościowych
w kwocie 5.230. 0000 zł
</t>
  </si>
  <si>
    <t>Załącznik Nr 1
do wniosku 
z dnia 29.03.2011</t>
  </si>
  <si>
    <t>Suma</t>
  </si>
  <si>
    <t>Załącznik Nr 1
do Zarządzenia Nr 72/2011                        Wójta Gminy Widuchowa 
z dnia 17 maja 2011 r.</t>
  </si>
</sst>
</file>

<file path=xl/styles.xml><?xml version="1.0" encoding="utf-8"?>
<styleSheet xmlns="http://schemas.openxmlformats.org/spreadsheetml/2006/main">
  <numFmts count="1">
    <numFmt numFmtId="164" formatCode="0.0000"/>
  </numFmts>
  <fonts count="30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 ce"/>
      <charset val="238"/>
    </font>
    <font>
      <b/>
      <sz val="11"/>
      <color rgb="FFFF0000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sz val="10"/>
      <color theme="1"/>
      <name val="Czcionka tekstu podstawowego"/>
      <family val="2"/>
      <charset val="238"/>
    </font>
    <font>
      <i/>
      <sz val="10"/>
      <name val="Arial CE"/>
      <charset val="238"/>
    </font>
    <font>
      <b/>
      <i/>
      <u/>
      <sz val="10"/>
      <name val="Arial CE"/>
      <family val="2"/>
      <charset val="238"/>
    </font>
    <font>
      <sz val="10"/>
      <name val="Czcionka tekstu podstawowego"/>
      <charset val="238"/>
    </font>
    <font>
      <b/>
      <vertAlign val="superscript"/>
      <sz val="10"/>
      <name val="Czcionka tekstu podstawowego"/>
      <charset val="238"/>
    </font>
    <font>
      <b/>
      <vertAlign val="superscript"/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8"/>
      <color theme="1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3" xfId="0" applyNumberFormat="1" applyFont="1" applyFill="1" applyBorder="1" applyAlignment="1">
      <alignment vertical="top" wrapText="1"/>
    </xf>
    <xf numFmtId="3" fontId="7" fillId="4" borderId="5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3" fontId="11" fillId="2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4" fontId="0" fillId="0" borderId="0" xfId="0" applyNumberFormat="1"/>
    <xf numFmtId="10" fontId="7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12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wrapText="1"/>
    </xf>
    <xf numFmtId="0" fontId="16" fillId="0" borderId="7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6" borderId="9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6" fillId="6" borderId="24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19" xfId="1" applyFont="1" applyBorder="1" applyAlignment="1">
      <alignment vertical="center" wrapText="1"/>
    </xf>
    <xf numFmtId="0" fontId="14" fillId="0" borderId="26" xfId="1" applyFont="1" applyBorder="1" applyAlignment="1">
      <alignment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vertical="center" wrapText="1"/>
    </xf>
    <xf numFmtId="0" fontId="14" fillId="0" borderId="32" xfId="1" applyFont="1" applyBorder="1" applyAlignment="1">
      <alignment horizontal="center" vertical="center"/>
    </xf>
    <xf numFmtId="0" fontId="14" fillId="0" borderId="19" xfId="1" applyFont="1" applyFill="1" applyBorder="1" applyAlignment="1">
      <alignment vertical="center" wrapText="1"/>
    </xf>
    <xf numFmtId="0" fontId="14" fillId="0" borderId="26" xfId="1" applyFont="1" applyFill="1" applyBorder="1" applyAlignment="1">
      <alignment vertical="center" wrapText="1"/>
    </xf>
    <xf numFmtId="0" fontId="14" fillId="0" borderId="19" xfId="1" applyFont="1" applyFill="1" applyBorder="1" applyAlignment="1">
      <alignment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vertical="center" wrapText="1"/>
    </xf>
    <xf numFmtId="0" fontId="14" fillId="0" borderId="13" xfId="1" applyFont="1" applyFill="1" applyBorder="1" applyAlignment="1">
      <alignment vertical="center" wrapText="1"/>
    </xf>
    <xf numFmtId="0" fontId="14" fillId="0" borderId="12" xfId="1" applyFont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" fillId="0" borderId="0" xfId="1" applyFont="1"/>
    <xf numFmtId="0" fontId="19" fillId="0" borderId="0" xfId="0" applyFont="1"/>
    <xf numFmtId="0" fontId="16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/>
    </xf>
    <xf numFmtId="0" fontId="3" fillId="0" borderId="11" xfId="1" applyFont="1" applyBorder="1"/>
    <xf numFmtId="0" fontId="16" fillId="0" borderId="11" xfId="1" applyFont="1" applyBorder="1" applyAlignment="1">
      <alignment vertical="center"/>
    </xf>
    <xf numFmtId="0" fontId="3" fillId="0" borderId="13" xfId="1" applyFont="1" applyBorder="1"/>
    <xf numFmtId="0" fontId="16" fillId="0" borderId="11" xfId="1" applyFont="1" applyBorder="1" applyAlignment="1">
      <alignment horizontal="center" vertical="center"/>
    </xf>
    <xf numFmtId="0" fontId="16" fillId="6" borderId="14" xfId="1" applyFont="1" applyFill="1" applyBorder="1" applyAlignment="1">
      <alignment vertical="center"/>
    </xf>
    <xf numFmtId="3" fontId="17" fillId="6" borderId="11" xfId="1" applyNumberFormat="1" applyFont="1" applyFill="1" applyBorder="1" applyAlignment="1">
      <alignment vertical="center"/>
    </xf>
    <xf numFmtId="0" fontId="14" fillId="0" borderId="16" xfId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14" fillId="0" borderId="19" xfId="1" applyFont="1" applyBorder="1" applyAlignment="1">
      <alignment vertical="center"/>
    </xf>
    <xf numFmtId="3" fontId="14" fillId="0" borderId="20" xfId="1" applyNumberFormat="1" applyFont="1" applyBorder="1" applyAlignment="1">
      <alignment vertical="center"/>
    </xf>
    <xf numFmtId="3" fontId="14" fillId="0" borderId="22" xfId="1" applyNumberFormat="1" applyFont="1" applyBorder="1" applyAlignment="1">
      <alignment vertical="center"/>
    </xf>
    <xf numFmtId="0" fontId="16" fillId="6" borderId="14" xfId="1" applyFont="1" applyFill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3" fontId="14" fillId="0" borderId="27" xfId="1" applyNumberFormat="1" applyFont="1" applyBorder="1" applyAlignment="1">
      <alignment vertical="center"/>
    </xf>
    <xf numFmtId="3" fontId="16" fillId="6" borderId="11" xfId="1" applyNumberFormat="1" applyFont="1" applyFill="1" applyBorder="1" applyAlignment="1">
      <alignment vertical="center" wrapText="1"/>
    </xf>
    <xf numFmtId="0" fontId="16" fillId="0" borderId="26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7" fillId="0" borderId="26" xfId="1" applyFont="1" applyBorder="1" applyAlignment="1">
      <alignment vertical="center" wrapText="1"/>
    </xf>
    <xf numFmtId="3" fontId="14" fillId="0" borderId="30" xfId="1" applyNumberFormat="1" applyFont="1" applyBorder="1" applyAlignment="1">
      <alignment vertical="center"/>
    </xf>
    <xf numFmtId="0" fontId="17" fillId="0" borderId="19" xfId="1" applyFont="1" applyBorder="1" applyAlignment="1">
      <alignment vertical="center" wrapText="1"/>
    </xf>
    <xf numFmtId="0" fontId="16" fillId="0" borderId="13" xfId="1" applyFont="1" applyBorder="1" applyAlignment="1">
      <alignment vertical="center"/>
    </xf>
    <xf numFmtId="3" fontId="14" fillId="0" borderId="31" xfId="1" applyNumberFormat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6" xfId="1" applyFont="1" applyFill="1" applyBorder="1" applyAlignment="1">
      <alignment vertical="center"/>
    </xf>
    <xf numFmtId="0" fontId="16" fillId="0" borderId="26" xfId="1" applyFont="1" applyFill="1" applyBorder="1" applyAlignment="1">
      <alignment vertical="center" wrapText="1"/>
    </xf>
    <xf numFmtId="3" fontId="14" fillId="0" borderId="27" xfId="1" applyNumberFormat="1" applyFont="1" applyBorder="1" applyAlignment="1"/>
    <xf numFmtId="0" fontId="16" fillId="0" borderId="19" xfId="1" applyFont="1" applyFill="1" applyBorder="1" applyAlignment="1">
      <alignment vertical="center" wrapText="1"/>
    </xf>
    <xf numFmtId="3" fontId="14" fillId="0" borderId="27" xfId="1" applyNumberFormat="1" applyFont="1" applyFill="1" applyBorder="1" applyAlignment="1">
      <alignment vertical="center"/>
    </xf>
    <xf numFmtId="3" fontId="14" fillId="0" borderId="22" xfId="1" applyNumberFormat="1" applyFont="1" applyBorder="1" applyAlignment="1"/>
    <xf numFmtId="2" fontId="17" fillId="6" borderId="35" xfId="1" applyNumberFormat="1" applyFont="1" applyFill="1" applyBorder="1" applyAlignment="1">
      <alignment horizontal="center" vertical="center"/>
    </xf>
    <xf numFmtId="2" fontId="17" fillId="6" borderId="36" xfId="1" applyNumberFormat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horizontal="center" vertical="center"/>
    </xf>
    <xf numFmtId="2" fontId="17" fillId="0" borderId="37" xfId="1" applyNumberFormat="1" applyFont="1" applyFill="1" applyBorder="1" applyAlignment="1">
      <alignment horizontal="center" vertical="center"/>
    </xf>
    <xf numFmtId="2" fontId="17" fillId="0" borderId="38" xfId="1" applyNumberFormat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vertical="center" wrapText="1"/>
    </xf>
    <xf numFmtId="3" fontId="14" fillId="0" borderId="17" xfId="1" applyNumberFormat="1" applyFont="1" applyFill="1" applyBorder="1" applyAlignment="1">
      <alignment vertical="center"/>
    </xf>
    <xf numFmtId="3" fontId="14" fillId="0" borderId="40" xfId="1" applyNumberFormat="1" applyFont="1" applyFill="1" applyBorder="1" applyAlignment="1">
      <alignment vertical="center"/>
    </xf>
    <xf numFmtId="3" fontId="14" fillId="0" borderId="41" xfId="1" applyNumberFormat="1" applyFont="1" applyFill="1" applyBorder="1" applyAlignment="1">
      <alignment vertical="center"/>
    </xf>
    <xf numFmtId="3" fontId="14" fillId="0" borderId="42" xfId="1" applyNumberFormat="1" applyFont="1" applyFill="1" applyBorder="1" applyAlignment="1">
      <alignment vertical="center"/>
    </xf>
    <xf numFmtId="3" fontId="14" fillId="0" borderId="31" xfId="1" applyNumberFormat="1" applyFont="1" applyFill="1" applyBorder="1" applyAlignment="1">
      <alignment vertical="center"/>
    </xf>
    <xf numFmtId="3" fontId="14" fillId="0" borderId="37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20" xfId="1" applyNumberFormat="1" applyFont="1" applyFill="1" applyBorder="1" applyAlignment="1">
      <alignment vertical="center"/>
    </xf>
    <xf numFmtId="3" fontId="14" fillId="0" borderId="44" xfId="1" applyNumberFormat="1" applyFont="1" applyFill="1" applyBorder="1" applyAlignment="1">
      <alignment vertical="center"/>
    </xf>
    <xf numFmtId="3" fontId="14" fillId="0" borderId="38" xfId="1" applyNumberFormat="1" applyFont="1" applyFill="1" applyBorder="1" applyAlignment="1">
      <alignment vertical="center"/>
    </xf>
    <xf numFmtId="3" fontId="14" fillId="0" borderId="11" xfId="1" applyNumberFormat="1" applyFont="1" applyFill="1" applyBorder="1" applyAlignment="1">
      <alignment vertical="center"/>
    </xf>
    <xf numFmtId="2" fontId="17" fillId="6" borderId="38" xfId="1" applyNumberFormat="1" applyFont="1" applyFill="1" applyBorder="1" applyAlignment="1">
      <alignment horizontal="center" vertical="center"/>
    </xf>
    <xf numFmtId="0" fontId="16" fillId="7" borderId="14" xfId="1" applyFont="1" applyFill="1" applyBorder="1" applyAlignment="1">
      <alignment vertical="center" wrapText="1"/>
    </xf>
    <xf numFmtId="2" fontId="17" fillId="7" borderId="38" xfId="1" applyNumberFormat="1" applyFont="1" applyFill="1" applyBorder="1" applyAlignment="1">
      <alignment horizontal="center" vertical="center"/>
    </xf>
    <xf numFmtId="2" fontId="17" fillId="7" borderId="11" xfId="1" applyNumberFormat="1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3" fontId="14" fillId="0" borderId="30" xfId="1" applyNumberFormat="1" applyFont="1" applyFill="1" applyBorder="1" applyAlignment="1">
      <alignment vertical="center"/>
    </xf>
    <xf numFmtId="10" fontId="17" fillId="6" borderId="11" xfId="1" applyNumberFormat="1" applyFont="1" applyFill="1" applyBorder="1" applyAlignment="1">
      <alignment horizontal="center" vertical="center"/>
    </xf>
    <xf numFmtId="10" fontId="17" fillId="0" borderId="11" xfId="1" applyNumberFormat="1" applyFont="1" applyFill="1" applyBorder="1" applyAlignment="1">
      <alignment horizontal="center" vertical="center"/>
    </xf>
    <xf numFmtId="3" fontId="16" fillId="0" borderId="39" xfId="1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top" wrapText="1"/>
    </xf>
    <xf numFmtId="0" fontId="27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vertical="top" wrapText="1"/>
    </xf>
    <xf numFmtId="0" fontId="11" fillId="10" borderId="4" xfId="0" applyFont="1" applyFill="1" applyBorder="1" applyAlignment="1">
      <alignment horizontal="right" vertical="top" wrapText="1"/>
    </xf>
    <xf numFmtId="0" fontId="11" fillId="10" borderId="1" xfId="0" applyFont="1" applyFill="1" applyBorder="1" applyAlignment="1">
      <alignment vertical="top" wrapText="1"/>
    </xf>
    <xf numFmtId="0" fontId="11" fillId="9" borderId="46" xfId="0" applyFont="1" applyFill="1" applyBorder="1" applyAlignment="1">
      <alignment horizontal="right" vertical="top" wrapText="1"/>
    </xf>
    <xf numFmtId="0" fontId="11" fillId="9" borderId="2" xfId="0" applyFont="1" applyFill="1" applyBorder="1" applyAlignment="1">
      <alignment vertical="top" wrapText="1"/>
    </xf>
    <xf numFmtId="3" fontId="28" fillId="11" borderId="1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4" fillId="0" borderId="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8" fillId="0" borderId="45" xfId="1" applyFont="1" applyBorder="1" applyAlignment="1">
      <alignment horizontal="left" vertical="top" wrapText="1"/>
    </xf>
    <xf numFmtId="0" fontId="19" fillId="0" borderId="0" xfId="0" applyFont="1"/>
    <xf numFmtId="0" fontId="1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29" fillId="9" borderId="48" xfId="0" applyFont="1" applyFill="1" applyBorder="1" applyAlignment="1">
      <alignment horizontal="center" vertical="top" wrapText="1"/>
    </xf>
    <xf numFmtId="0" fontId="26" fillId="0" borderId="46" xfId="0" applyFont="1" applyBorder="1" applyAlignment="1">
      <alignment horizontal="center" vertical="top" wrapText="1"/>
    </xf>
    <xf numFmtId="0" fontId="27" fillId="8" borderId="47" xfId="0" applyFont="1" applyFill="1" applyBorder="1" applyAlignment="1">
      <alignment horizontal="center" vertical="center"/>
    </xf>
    <xf numFmtId="0" fontId="0" fillId="0" borderId="49" xfId="0" applyBorder="1" applyAlignment="1"/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projWiduchowa2011roboczy%20UE%20ver%2000%20bez%20wypelnienia%20kopia%20z%20dnia%2031paz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>
        <row r="444">
          <cell r="L4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view="pageBreakPreview" topLeftCell="I1" zoomScaleNormal="100" zoomScaleSheetLayoutView="100" workbookViewId="0">
      <selection activeCell="K1" sqref="K1:L1"/>
    </sheetView>
  </sheetViews>
  <sheetFormatPr defaultRowHeight="14.25"/>
  <cols>
    <col min="1" max="1" width="5.5" style="1" customWidth="1"/>
    <col min="2" max="2" width="50.75" customWidth="1"/>
    <col min="3" max="15" width="12.625" customWidth="1"/>
  </cols>
  <sheetData>
    <row r="1" spans="1:15" ht="46.5" customHeight="1">
      <c r="B1" s="4"/>
      <c r="K1" s="153" t="s">
        <v>217</v>
      </c>
      <c r="L1" s="153"/>
    </row>
    <row r="2" spans="1:15" ht="30.75" customHeight="1">
      <c r="A2" s="155" t="s">
        <v>132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</row>
    <row r="3" spans="1:15" ht="14.25" hidden="1" customHeight="1">
      <c r="A3" s="43"/>
      <c r="B3" s="43"/>
      <c r="C3" s="43"/>
      <c r="D3" s="43">
        <f>(D10-C10)/C10</f>
        <v>5.7718317522854317E-3</v>
      </c>
    </row>
    <row r="4" spans="1:15" hidden="1">
      <c r="D4" s="45">
        <f>(D7-C7)/C7</f>
        <v>1.5853543875530209E-2</v>
      </c>
      <c r="E4" s="45">
        <f t="shared" ref="E4:I4" si="0">(E7-D7)/D7</f>
        <v>7.555175182481752E-2</v>
      </c>
      <c r="F4" s="45">
        <f t="shared" si="0"/>
        <v>5.1912992000914281E-2</v>
      </c>
      <c r="G4" s="45">
        <f t="shared" si="0"/>
        <v>0.03</v>
      </c>
      <c r="H4" s="45">
        <f t="shared" si="0"/>
        <v>0.03</v>
      </c>
      <c r="I4" s="45">
        <f t="shared" si="0"/>
        <v>0.03</v>
      </c>
    </row>
    <row r="5" spans="1:15">
      <c r="A5" s="5" t="s">
        <v>82</v>
      </c>
      <c r="B5" s="5" t="s">
        <v>81</v>
      </c>
      <c r="C5" s="6" t="s">
        <v>83</v>
      </c>
      <c r="D5" s="5" t="s">
        <v>84</v>
      </c>
      <c r="E5" s="5" t="s">
        <v>85</v>
      </c>
      <c r="F5" s="6" t="s">
        <v>86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123</v>
      </c>
      <c r="M5" s="5" t="s">
        <v>124</v>
      </c>
      <c r="N5" s="5" t="s">
        <v>130</v>
      </c>
      <c r="O5" s="5" t="s">
        <v>131</v>
      </c>
    </row>
    <row r="6" spans="1:15" s="2" customFormat="1">
      <c r="A6" s="7" t="s">
        <v>36</v>
      </c>
      <c r="B6" s="8" t="s">
        <v>89</v>
      </c>
      <c r="C6" s="25">
        <f>SUM(C7:C8)</f>
        <v>19036967</v>
      </c>
      <c r="D6" s="25">
        <f t="shared" ref="D6:G6" si="1">SUM(D7:D8)</f>
        <v>16742000</v>
      </c>
      <c r="E6" s="25">
        <f t="shared" si="1"/>
        <v>16643059</v>
      </c>
      <c r="F6" s="25">
        <f t="shared" si="1"/>
        <v>15800000</v>
      </c>
      <c r="G6" s="25">
        <f t="shared" si="1"/>
        <v>16265000</v>
      </c>
      <c r="H6" s="25">
        <f t="shared" ref="H6:M6" si="2">SUM(H7:H8)</f>
        <v>16743950</v>
      </c>
      <c r="I6" s="25">
        <f t="shared" si="2"/>
        <v>17237268.5</v>
      </c>
      <c r="J6" s="25">
        <f t="shared" si="2"/>
        <v>17745386.555</v>
      </c>
      <c r="K6" s="25">
        <f t="shared" si="2"/>
        <v>18268748.15165</v>
      </c>
      <c r="L6" s="25">
        <f t="shared" si="2"/>
        <v>18807810.596199501</v>
      </c>
      <c r="M6" s="25">
        <f t="shared" si="2"/>
        <v>19363044.914085485</v>
      </c>
      <c r="N6" s="25">
        <f t="shared" ref="N6:O6" si="3">SUM(N7:N8)</f>
        <v>19934936.261508051</v>
      </c>
      <c r="O6" s="25">
        <f t="shared" si="3"/>
        <v>20523984.349353295</v>
      </c>
    </row>
    <row r="7" spans="1:15" s="2" customFormat="1">
      <c r="A7" s="9" t="s">
        <v>18</v>
      </c>
      <c r="B7" s="10" t="s">
        <v>13</v>
      </c>
      <c r="C7" s="25">
        <v>13486196</v>
      </c>
      <c r="D7" s="25">
        <f>13700000</f>
        <v>13700000</v>
      </c>
      <c r="E7" s="25">
        <v>14735059</v>
      </c>
      <c r="F7" s="25">
        <f>15500000</f>
        <v>15500000</v>
      </c>
      <c r="G7" s="25">
        <f>F7*1.03</f>
        <v>15965000</v>
      </c>
      <c r="H7" s="25">
        <f t="shared" ref="H7:O7" si="4">G7*1.03</f>
        <v>16443950</v>
      </c>
      <c r="I7" s="25">
        <f t="shared" si="4"/>
        <v>16937268.5</v>
      </c>
      <c r="J7" s="25">
        <f t="shared" si="4"/>
        <v>17445386.555</v>
      </c>
      <c r="K7" s="25">
        <f t="shared" si="4"/>
        <v>17968748.15165</v>
      </c>
      <c r="L7" s="25">
        <f t="shared" si="4"/>
        <v>18507810.596199501</v>
      </c>
      <c r="M7" s="25">
        <f t="shared" si="4"/>
        <v>19063044.914085485</v>
      </c>
      <c r="N7" s="25">
        <f t="shared" si="4"/>
        <v>19634936.261508051</v>
      </c>
      <c r="O7" s="25">
        <f t="shared" si="4"/>
        <v>20223984.349353295</v>
      </c>
    </row>
    <row r="8" spans="1:15" s="2" customFormat="1">
      <c r="A8" s="9" t="s">
        <v>19</v>
      </c>
      <c r="B8" s="11" t="s">
        <v>14</v>
      </c>
      <c r="C8" s="26">
        <v>5550771</v>
      </c>
      <c r="D8" s="26">
        <v>3042000</v>
      </c>
      <c r="E8" s="26">
        <v>1908000</v>
      </c>
      <c r="F8" s="26">
        <v>300000</v>
      </c>
      <c r="G8" s="26">
        <v>300000</v>
      </c>
      <c r="H8" s="26">
        <v>300000</v>
      </c>
      <c r="I8" s="26">
        <v>300000</v>
      </c>
      <c r="J8" s="26">
        <v>300000</v>
      </c>
      <c r="K8" s="26">
        <v>300000</v>
      </c>
      <c r="L8" s="26">
        <v>300000</v>
      </c>
      <c r="M8" s="26">
        <v>300000</v>
      </c>
      <c r="N8" s="26">
        <v>300000</v>
      </c>
      <c r="O8" s="26">
        <v>300000</v>
      </c>
    </row>
    <row r="9" spans="1:15" s="2" customFormat="1">
      <c r="A9" s="9"/>
      <c r="B9" s="11" t="s">
        <v>87</v>
      </c>
      <c r="C9" s="25">
        <v>190000</v>
      </c>
      <c r="D9" s="25">
        <v>400000</v>
      </c>
      <c r="E9" s="25">
        <v>422000</v>
      </c>
      <c r="F9" s="25">
        <v>300000</v>
      </c>
      <c r="G9" s="25">
        <v>300000</v>
      </c>
      <c r="H9" s="25">
        <v>300000</v>
      </c>
      <c r="I9" s="25">
        <v>300000</v>
      </c>
      <c r="J9" s="25">
        <v>300000</v>
      </c>
      <c r="K9" s="25">
        <v>300000</v>
      </c>
      <c r="L9" s="25">
        <v>300000</v>
      </c>
      <c r="M9" s="25">
        <v>300000</v>
      </c>
      <c r="N9" s="25">
        <v>300000</v>
      </c>
      <c r="O9" s="25">
        <v>300000</v>
      </c>
    </row>
    <row r="10" spans="1:15" s="2" customFormat="1" ht="51" customHeight="1">
      <c r="A10" s="7" t="s">
        <v>37</v>
      </c>
      <c r="B10" s="8" t="s">
        <v>105</v>
      </c>
      <c r="C10" s="25">
        <v>12827990</v>
      </c>
      <c r="D10" s="25">
        <v>12902031</v>
      </c>
      <c r="E10" s="25">
        <f t="shared" ref="E10:O10" si="5">D10*1.03</f>
        <v>13289091.93</v>
      </c>
      <c r="F10" s="25">
        <f t="shared" si="5"/>
        <v>13687764.687899999</v>
      </c>
      <c r="G10" s="25">
        <f t="shared" si="5"/>
        <v>14098397.628536999</v>
      </c>
      <c r="H10" s="25">
        <f t="shared" si="5"/>
        <v>14521349.557393109</v>
      </c>
      <c r="I10" s="25">
        <f t="shared" si="5"/>
        <v>14956990.044114903</v>
      </c>
      <c r="J10" s="25">
        <f t="shared" si="5"/>
        <v>15405699.74543835</v>
      </c>
      <c r="K10" s="25">
        <f t="shared" si="5"/>
        <v>15867870.737801502</v>
      </c>
      <c r="L10" s="25">
        <f t="shared" si="5"/>
        <v>16343906.859935546</v>
      </c>
      <c r="M10" s="25">
        <f t="shared" si="5"/>
        <v>16834224.065733612</v>
      </c>
      <c r="N10" s="25">
        <f t="shared" si="5"/>
        <v>17339250.787705619</v>
      </c>
      <c r="O10" s="25">
        <f t="shared" si="5"/>
        <v>17859428.311336789</v>
      </c>
    </row>
    <row r="11" spans="1:15" s="2" customFormat="1">
      <c r="A11" s="9" t="s">
        <v>18</v>
      </c>
      <c r="B11" s="11" t="s">
        <v>90</v>
      </c>
      <c r="C11" s="26">
        <v>5923327</v>
      </c>
      <c r="D11" s="26">
        <v>6098967</v>
      </c>
      <c r="E11" s="26">
        <f t="shared" ref="E11:O11" si="6">D11*1.03</f>
        <v>6281936.0099999998</v>
      </c>
      <c r="F11" s="26">
        <f t="shared" si="6"/>
        <v>6470394.0903000003</v>
      </c>
      <c r="G11" s="26">
        <f t="shared" si="6"/>
        <v>6664505.913009</v>
      </c>
      <c r="H11" s="26">
        <f t="shared" si="6"/>
        <v>6864441.0903992699</v>
      </c>
      <c r="I11" s="26">
        <f t="shared" si="6"/>
        <v>7070374.3231112482</v>
      </c>
      <c r="J11" s="26">
        <f t="shared" si="6"/>
        <v>7282485.5528045855</v>
      </c>
      <c r="K11" s="26">
        <f t="shared" si="6"/>
        <v>7500960.1193887237</v>
      </c>
      <c r="L11" s="26">
        <f t="shared" si="6"/>
        <v>7725988.9229703853</v>
      </c>
      <c r="M11" s="26">
        <f t="shared" si="6"/>
        <v>7957768.5906594973</v>
      </c>
      <c r="N11" s="26">
        <f t="shared" si="6"/>
        <v>8196501.6483792821</v>
      </c>
      <c r="O11" s="26">
        <f t="shared" si="6"/>
        <v>8442396.6978306603</v>
      </c>
    </row>
    <row r="12" spans="1:15" s="2" customFormat="1">
      <c r="A12" s="9" t="s">
        <v>19</v>
      </c>
      <c r="B12" s="11" t="s">
        <v>91</v>
      </c>
      <c r="C12" s="26">
        <v>2246601</v>
      </c>
      <c r="D12" s="26">
        <f>C12*1.03</f>
        <v>2313999.0300000003</v>
      </c>
      <c r="E12" s="26">
        <f t="shared" ref="E12:O12" si="7">D12*1.03</f>
        <v>2383419.0009000003</v>
      </c>
      <c r="F12" s="26">
        <f t="shared" si="7"/>
        <v>2454921.5709270006</v>
      </c>
      <c r="G12" s="26">
        <f t="shared" si="7"/>
        <v>2528569.2180548105</v>
      </c>
      <c r="H12" s="26">
        <f t="shared" si="7"/>
        <v>2604426.2945964551</v>
      </c>
      <c r="I12" s="26">
        <f t="shared" si="7"/>
        <v>2682559.0834343489</v>
      </c>
      <c r="J12" s="26">
        <f t="shared" si="7"/>
        <v>2763035.8559373794</v>
      </c>
      <c r="K12" s="26">
        <f t="shared" si="7"/>
        <v>2845926.9316155007</v>
      </c>
      <c r="L12" s="26">
        <f t="shared" si="7"/>
        <v>2931304.7395639657</v>
      </c>
      <c r="M12" s="26">
        <f t="shared" si="7"/>
        <v>3019243.8817508849</v>
      </c>
      <c r="N12" s="26">
        <f t="shared" si="7"/>
        <v>3109821.1982034114</v>
      </c>
      <c r="O12" s="26">
        <f t="shared" si="7"/>
        <v>3203115.8341495139</v>
      </c>
    </row>
    <row r="13" spans="1:15" s="2" customFormat="1">
      <c r="A13" s="9" t="s">
        <v>20</v>
      </c>
      <c r="B13" s="11" t="s">
        <v>15</v>
      </c>
      <c r="C13" s="25">
        <f>'[1]2'!$L$444</f>
        <v>0</v>
      </c>
      <c r="D13" s="25">
        <f>'[1]2'!$L$444</f>
        <v>0</v>
      </c>
      <c r="E13" s="25">
        <f>'[1]2'!$L$444</f>
        <v>0</v>
      </c>
      <c r="F13" s="25">
        <f>'[1]2'!$L$444</f>
        <v>0</v>
      </c>
      <c r="G13" s="25">
        <f>'[1]2'!$L$444</f>
        <v>0</v>
      </c>
      <c r="H13" s="25">
        <f>'[1]2'!$L$444</f>
        <v>0</v>
      </c>
      <c r="I13" s="25">
        <f>'[1]2'!$L$444</f>
        <v>0</v>
      </c>
      <c r="J13" s="25">
        <f>'[1]2'!$L$444</f>
        <v>0</v>
      </c>
      <c r="K13" s="25">
        <f>'[1]2'!$L$444</f>
        <v>0</v>
      </c>
      <c r="L13" s="25">
        <f>'[1]2'!$L$444</f>
        <v>0</v>
      </c>
      <c r="M13" s="25">
        <f>'[1]2'!$L$444</f>
        <v>0</v>
      </c>
      <c r="N13" s="25">
        <f>'[1]2'!$L$444</f>
        <v>0</v>
      </c>
      <c r="O13" s="25">
        <f>'[1]2'!$L$444</f>
        <v>0</v>
      </c>
    </row>
    <row r="14" spans="1:15" s="2" customFormat="1" ht="25.5">
      <c r="A14" s="9"/>
      <c r="B14" s="11" t="s">
        <v>88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2" customFormat="1">
      <c r="A15" s="9" t="s">
        <v>103</v>
      </c>
      <c r="B15" s="11" t="s">
        <v>104</v>
      </c>
      <c r="C15" s="26">
        <v>763093</v>
      </c>
      <c r="D15" s="26">
        <v>650181</v>
      </c>
      <c r="E15" s="26">
        <v>447149</v>
      </c>
      <c r="F15" s="26">
        <v>266080</v>
      </c>
      <c r="G15" s="26">
        <v>0</v>
      </c>
      <c r="H15" s="26"/>
      <c r="I15" s="26"/>
      <c r="J15" s="26"/>
      <c r="K15" s="26"/>
      <c r="L15" s="26"/>
      <c r="M15" s="26"/>
      <c r="N15" s="26"/>
      <c r="O15" s="26"/>
    </row>
    <row r="16" spans="1:15" s="2" customFormat="1" ht="25.5">
      <c r="A16" s="7" t="s">
        <v>38</v>
      </c>
      <c r="B16" s="18" t="s">
        <v>0</v>
      </c>
      <c r="C16" s="27">
        <f>C6-C10</f>
        <v>6208977</v>
      </c>
      <c r="D16" s="27">
        <f t="shared" ref="D16:G16" si="8">D6-D10</f>
        <v>3839969</v>
      </c>
      <c r="E16" s="27">
        <f t="shared" si="8"/>
        <v>3353967.0700000003</v>
      </c>
      <c r="F16" s="27">
        <f t="shared" si="8"/>
        <v>2112235.3121000007</v>
      </c>
      <c r="G16" s="27">
        <f t="shared" si="8"/>
        <v>2166602.3714630008</v>
      </c>
      <c r="H16" s="27">
        <f t="shared" ref="H16:M16" si="9">H6-H10</f>
        <v>2222600.4426068906</v>
      </c>
      <c r="I16" s="27">
        <f t="shared" si="9"/>
        <v>2280278.4558850974</v>
      </c>
      <c r="J16" s="27">
        <f t="shared" si="9"/>
        <v>2339686.8095616493</v>
      </c>
      <c r="K16" s="27">
        <f t="shared" si="9"/>
        <v>2400877.4138484988</v>
      </c>
      <c r="L16" s="27">
        <f t="shared" si="9"/>
        <v>2463903.736263955</v>
      </c>
      <c r="M16" s="27">
        <f t="shared" si="9"/>
        <v>2528820.8483518735</v>
      </c>
      <c r="N16" s="27">
        <f t="shared" ref="N16:O16" si="10">N6-N10</f>
        <v>2595685.4738024324</v>
      </c>
      <c r="O16" s="27">
        <f t="shared" si="10"/>
        <v>2664556.0380165055</v>
      </c>
    </row>
    <row r="17" spans="1:15" s="2" customFormat="1" ht="25.5">
      <c r="A17" s="7" t="s">
        <v>39</v>
      </c>
      <c r="B17" s="18" t="s">
        <v>1</v>
      </c>
      <c r="C17" s="27">
        <v>3139378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s="2" customFormat="1" ht="38.25">
      <c r="A18" s="9"/>
      <c r="B18" s="11" t="s">
        <v>106</v>
      </c>
      <c r="C18" s="26">
        <v>3139378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2" customFormat="1" ht="15" thickBot="1">
      <c r="A19" s="7" t="s">
        <v>34</v>
      </c>
      <c r="B19" s="22" t="s">
        <v>92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s="2" customFormat="1" ht="30" customHeight="1" thickBot="1">
      <c r="A20" s="19" t="s">
        <v>35</v>
      </c>
      <c r="B20" s="21" t="s">
        <v>109</v>
      </c>
      <c r="C20" s="29">
        <f>SUM(C16:C17,C19)</f>
        <v>9348355</v>
      </c>
      <c r="D20" s="29">
        <f t="shared" ref="D20:G20" si="11">SUM(D16:D17,D19)</f>
        <v>3839969</v>
      </c>
      <c r="E20" s="29">
        <f t="shared" si="11"/>
        <v>3353967.0700000003</v>
      </c>
      <c r="F20" s="29">
        <f t="shared" si="11"/>
        <v>2112235.3121000007</v>
      </c>
      <c r="G20" s="29">
        <f t="shared" si="11"/>
        <v>2166602.3714630008</v>
      </c>
      <c r="H20" s="29">
        <f t="shared" ref="H20:M20" si="12">SUM(H16:H17,H19)</f>
        <v>2222600.4426068906</v>
      </c>
      <c r="I20" s="29">
        <f t="shared" si="12"/>
        <v>2280278.4558850974</v>
      </c>
      <c r="J20" s="29">
        <f t="shared" si="12"/>
        <v>2339686.8095616493</v>
      </c>
      <c r="K20" s="29">
        <f t="shared" si="12"/>
        <v>2400877.4138484988</v>
      </c>
      <c r="L20" s="29">
        <f t="shared" si="12"/>
        <v>2463903.736263955</v>
      </c>
      <c r="M20" s="29">
        <f t="shared" si="12"/>
        <v>2528820.8483518735</v>
      </c>
      <c r="N20" s="29">
        <f t="shared" ref="N20:O20" si="13">SUM(N16:N17,N19)</f>
        <v>2595685.4738024324</v>
      </c>
      <c r="O20" s="29">
        <f t="shared" si="13"/>
        <v>2664556.0380165055</v>
      </c>
    </row>
    <row r="21" spans="1:15" s="2" customFormat="1">
      <c r="A21" s="7" t="s">
        <v>40</v>
      </c>
      <c r="B21" s="20" t="s">
        <v>2</v>
      </c>
      <c r="C21" s="27">
        <f t="shared" ref="C21:N21" si="14">SUM(C22,C30)</f>
        <v>3293500</v>
      </c>
      <c r="D21" s="27">
        <f t="shared" si="14"/>
        <v>1167946</v>
      </c>
      <c r="E21" s="27">
        <f t="shared" si="14"/>
        <v>1527725</v>
      </c>
      <c r="F21" s="27">
        <f t="shared" si="14"/>
        <v>491500</v>
      </c>
      <c r="G21" s="27">
        <f t="shared" si="14"/>
        <v>597000</v>
      </c>
      <c r="H21" s="27">
        <f t="shared" si="14"/>
        <v>887000</v>
      </c>
      <c r="I21" s="27">
        <f t="shared" si="14"/>
        <v>1062000</v>
      </c>
      <c r="J21" s="27">
        <f t="shared" si="14"/>
        <v>1027000</v>
      </c>
      <c r="K21" s="27">
        <f t="shared" si="14"/>
        <v>1492000</v>
      </c>
      <c r="L21" s="27">
        <f t="shared" si="14"/>
        <v>1532000</v>
      </c>
      <c r="M21" s="27">
        <f t="shared" si="14"/>
        <v>1267000</v>
      </c>
      <c r="N21" s="27">
        <f t="shared" si="14"/>
        <v>1242000</v>
      </c>
      <c r="O21" s="27">
        <f t="shared" ref="O21" si="15">SUM(O22,O30)</f>
        <v>1165500</v>
      </c>
    </row>
    <row r="22" spans="1:15" s="2" customFormat="1" ht="25.5">
      <c r="A22" s="9" t="s">
        <v>18</v>
      </c>
      <c r="B22" s="11" t="s">
        <v>61</v>
      </c>
      <c r="C22" s="25">
        <f t="shared" ref="C22:N22" si="16">SUM(C23:C29)</f>
        <v>2899000</v>
      </c>
      <c r="D22" s="25">
        <f t="shared" si="16"/>
        <v>701772</v>
      </c>
      <c r="E22" s="25">
        <f t="shared" si="16"/>
        <v>1080325</v>
      </c>
      <c r="F22" s="25">
        <f t="shared" si="16"/>
        <v>90000</v>
      </c>
      <c r="G22" s="25">
        <f t="shared" si="16"/>
        <v>200000</v>
      </c>
      <c r="H22" s="25">
        <f t="shared" si="16"/>
        <v>500000</v>
      </c>
      <c r="I22" s="25">
        <f t="shared" si="16"/>
        <v>700000</v>
      </c>
      <c r="J22" s="25">
        <f t="shared" si="16"/>
        <v>700000</v>
      </c>
      <c r="K22" s="25">
        <f t="shared" si="16"/>
        <v>1200000</v>
      </c>
      <c r="L22" s="25">
        <f t="shared" si="16"/>
        <v>1300000</v>
      </c>
      <c r="M22" s="25">
        <f t="shared" si="16"/>
        <v>1100000</v>
      </c>
      <c r="N22" s="25">
        <f t="shared" si="16"/>
        <v>1130000</v>
      </c>
      <c r="O22" s="25">
        <f t="shared" ref="O22" si="17">SUM(O23:O29)</f>
        <v>1110000</v>
      </c>
    </row>
    <row r="23" spans="1:15" s="37" customFormat="1" ht="11.25" hidden="1">
      <c r="A23" s="34"/>
      <c r="B23" s="35" t="s">
        <v>111</v>
      </c>
      <c r="C23" s="36">
        <v>84000</v>
      </c>
      <c r="D23" s="36">
        <v>34772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7" customFormat="1" ht="11.25" hidden="1">
      <c r="A24" s="38"/>
      <c r="B24" s="35" t="s">
        <v>112</v>
      </c>
      <c r="C24" s="36">
        <v>185000</v>
      </c>
      <c r="D24" s="36">
        <v>167000</v>
      </c>
      <c r="E24" s="36">
        <v>80325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s="37" customFormat="1" ht="11.25" hidden="1">
      <c r="A25" s="38"/>
      <c r="B25" s="35" t="s">
        <v>113</v>
      </c>
      <c r="C25" s="36">
        <v>400000</v>
      </c>
      <c r="D25" s="36">
        <v>200000</v>
      </c>
      <c r="E25" s="36">
        <v>400000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s="37" customFormat="1" ht="11.25" hidden="1">
      <c r="A26" s="38"/>
      <c r="B26" s="35" t="s">
        <v>114</v>
      </c>
      <c r="C26" s="36">
        <v>1000000</v>
      </c>
      <c r="D26" s="36">
        <v>300000</v>
      </c>
      <c r="E26" s="36">
        <v>600000</v>
      </c>
      <c r="F26" s="36">
        <v>0</v>
      </c>
      <c r="G26" s="36">
        <v>0</v>
      </c>
      <c r="H26" s="36">
        <v>0</v>
      </c>
      <c r="I26" s="36">
        <v>600000</v>
      </c>
      <c r="J26" s="36">
        <v>600000</v>
      </c>
      <c r="K26" s="36">
        <v>600000</v>
      </c>
      <c r="L26" s="36">
        <v>600000</v>
      </c>
      <c r="M26" s="36">
        <v>0</v>
      </c>
      <c r="N26" s="36"/>
      <c r="O26" s="36"/>
    </row>
    <row r="27" spans="1:15" s="37" customFormat="1" ht="11.25" hidden="1">
      <c r="A27" s="38"/>
      <c r="B27" s="35" t="s">
        <v>129</v>
      </c>
      <c r="C27" s="36">
        <v>1230000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37" customFormat="1" ht="11.25" hidden="1">
      <c r="A28" s="38"/>
      <c r="B28" s="35" t="s">
        <v>126</v>
      </c>
      <c r="C28" s="36">
        <v>0</v>
      </c>
      <c r="D28" s="36">
        <v>0</v>
      </c>
      <c r="E28" s="36">
        <v>0</v>
      </c>
      <c r="F28" s="36">
        <v>90000</v>
      </c>
      <c r="G28" s="36">
        <v>100000</v>
      </c>
      <c r="H28" s="36">
        <v>400000</v>
      </c>
      <c r="I28" s="36">
        <v>0</v>
      </c>
      <c r="J28" s="36">
        <v>0</v>
      </c>
      <c r="K28" s="36">
        <v>600000</v>
      </c>
      <c r="L28" s="36">
        <v>700000</v>
      </c>
      <c r="M28" s="36">
        <v>1100000</v>
      </c>
      <c r="N28" s="36">
        <v>1130000</v>
      </c>
      <c r="O28" s="36">
        <v>1110000</v>
      </c>
    </row>
    <row r="29" spans="1:15" s="37" customFormat="1" ht="11.25" hidden="1">
      <c r="A29" s="38"/>
      <c r="B29" s="35" t="s">
        <v>127</v>
      </c>
      <c r="C29" s="36"/>
      <c r="D29" s="36"/>
      <c r="E29" s="36"/>
      <c r="F29" s="36"/>
      <c r="G29" s="36">
        <v>100000</v>
      </c>
      <c r="H29" s="36">
        <v>100000</v>
      </c>
      <c r="I29" s="36">
        <v>100000</v>
      </c>
      <c r="J29" s="36">
        <v>100000</v>
      </c>
      <c r="K29" s="36"/>
      <c r="L29" s="36"/>
      <c r="M29" s="36"/>
      <c r="N29" s="36"/>
      <c r="O29" s="36"/>
    </row>
    <row r="30" spans="1:15" s="2" customFormat="1">
      <c r="A30" s="9" t="s">
        <v>19</v>
      </c>
      <c r="B30" s="11" t="s">
        <v>16</v>
      </c>
      <c r="C30" s="25">
        <f>SUM(C31:C37)</f>
        <v>394500</v>
      </c>
      <c r="D30" s="25">
        <f>SUM(D31:D37)</f>
        <v>466174</v>
      </c>
      <c r="E30" s="25">
        <f>SUM(E31:E37)</f>
        <v>447400</v>
      </c>
      <c r="F30" s="25">
        <f>SUM(F31:F37)</f>
        <v>401500</v>
      </c>
      <c r="G30" s="25">
        <f>SUM(G31:G37)</f>
        <v>397000</v>
      </c>
      <c r="H30" s="25">
        <f t="shared" ref="H30:M30" si="18">SUM(H31:H37)</f>
        <v>387000</v>
      </c>
      <c r="I30" s="25">
        <f t="shared" si="18"/>
        <v>362000</v>
      </c>
      <c r="J30" s="25">
        <f t="shared" si="18"/>
        <v>327000</v>
      </c>
      <c r="K30" s="25">
        <f t="shared" si="18"/>
        <v>292000</v>
      </c>
      <c r="L30" s="25">
        <f t="shared" si="18"/>
        <v>232000</v>
      </c>
      <c r="M30" s="25">
        <f t="shared" si="18"/>
        <v>167000</v>
      </c>
      <c r="N30" s="25">
        <f t="shared" ref="N30:O30" si="19">SUM(N31:N37)</f>
        <v>112000</v>
      </c>
      <c r="O30" s="25">
        <f t="shared" si="19"/>
        <v>55500</v>
      </c>
    </row>
    <row r="31" spans="1:15" s="37" customFormat="1" ht="11.25" hidden="1">
      <c r="A31" s="34"/>
      <c r="B31" s="35" t="s">
        <v>111</v>
      </c>
      <c r="C31" s="36">
        <v>1500</v>
      </c>
      <c r="D31" s="36">
        <v>174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7" customFormat="1" ht="11.25" hidden="1">
      <c r="A32" s="39"/>
      <c r="B32" s="35" t="s">
        <v>112</v>
      </c>
      <c r="C32" s="36">
        <v>15000</v>
      </c>
      <c r="D32" s="36">
        <v>13500</v>
      </c>
      <c r="E32" s="36">
        <v>1900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s="37" customFormat="1" ht="11.25" hidden="1">
      <c r="A33" s="39"/>
      <c r="B33" s="35" t="s">
        <v>113</v>
      </c>
      <c r="C33" s="36">
        <v>63000</v>
      </c>
      <c r="D33" s="36">
        <v>26000</v>
      </c>
      <c r="E33" s="36">
        <v>12000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37" customFormat="1" ht="11.25" hidden="1">
      <c r="A34" s="38"/>
      <c r="B34" s="35" t="s">
        <v>114</v>
      </c>
      <c r="C34" s="36">
        <v>243000</v>
      </c>
      <c r="D34" s="36">
        <f>SUM(D26:$O$26)*5%</f>
        <v>165000</v>
      </c>
      <c r="E34" s="36">
        <f>SUM(E26:$O$26)*5%</f>
        <v>150000</v>
      </c>
      <c r="F34" s="36">
        <f>SUM(F26:$O$26)*5%</f>
        <v>120000</v>
      </c>
      <c r="G34" s="36">
        <f>SUM(G26:$O$26)*5%</f>
        <v>120000</v>
      </c>
      <c r="H34" s="36">
        <f>SUM(H26:$O$26)*5%</f>
        <v>120000</v>
      </c>
      <c r="I34" s="36">
        <f>SUM(I26:$O$26)*5%</f>
        <v>120000</v>
      </c>
      <c r="J34" s="36">
        <f>SUM(J26:$O$26)*5%</f>
        <v>90000</v>
      </c>
      <c r="K34" s="36">
        <f>SUM(K26:$O$26)*5%</f>
        <v>60000</v>
      </c>
      <c r="L34" s="36">
        <f>SUM(L26:$O$26)*5%</f>
        <v>30000</v>
      </c>
      <c r="M34" s="36">
        <f>SUM(M26:$O$26)*5%</f>
        <v>0</v>
      </c>
      <c r="N34" s="36">
        <f>SUM(N26:$O$26)*5%</f>
        <v>0</v>
      </c>
      <c r="O34" s="36">
        <f>SUM(O26:$O$26)*5%</f>
        <v>0</v>
      </c>
    </row>
    <row r="35" spans="1:15" s="37" customFormat="1" ht="11.25" hidden="1">
      <c r="A35" s="38"/>
      <c r="B35" s="35" t="s">
        <v>125</v>
      </c>
      <c r="C35" s="36">
        <v>57000</v>
      </c>
      <c r="D35" s="36">
        <f>SUM(D28:O$28)*5%</f>
        <v>261500</v>
      </c>
      <c r="E35" s="36">
        <f>SUM(E28:P$28)*5%</f>
        <v>261500</v>
      </c>
      <c r="F35" s="36">
        <f>SUM(F28:Q$28)*5%</f>
        <v>261500</v>
      </c>
      <c r="G35" s="36">
        <f>SUM(G28:R$28)*5%</f>
        <v>257000</v>
      </c>
      <c r="H35" s="36">
        <f>SUM(H28:S$28)*5%</f>
        <v>252000</v>
      </c>
      <c r="I35" s="36">
        <f>SUM(I28:T$28)*5%</f>
        <v>232000</v>
      </c>
      <c r="J35" s="36">
        <f>SUM(J28:U$28)*5%</f>
        <v>232000</v>
      </c>
      <c r="K35" s="36">
        <f>SUM(K28:V$28)*5%</f>
        <v>232000</v>
      </c>
      <c r="L35" s="36">
        <f>SUM(L28:W$28)*5%</f>
        <v>202000</v>
      </c>
      <c r="M35" s="36">
        <f>SUM(M28:X$28)*5%</f>
        <v>167000</v>
      </c>
      <c r="N35" s="36">
        <f>SUM(N28:Y$28)*5%</f>
        <v>112000</v>
      </c>
      <c r="O35" s="36">
        <f>SUM(O28:Z$28)*5%</f>
        <v>55500</v>
      </c>
    </row>
    <row r="36" spans="1:15" s="37" customFormat="1" ht="11.25" hidden="1">
      <c r="A36" s="38"/>
      <c r="B36" s="35" t="s">
        <v>127</v>
      </c>
      <c r="C36" s="36"/>
      <c r="D36" s="36"/>
      <c r="E36" s="36">
        <v>22000</v>
      </c>
      <c r="F36" s="36">
        <v>20000</v>
      </c>
      <c r="G36" s="36">
        <v>20000</v>
      </c>
      <c r="H36" s="36">
        <v>15000</v>
      </c>
      <c r="I36" s="36">
        <v>10000</v>
      </c>
      <c r="J36" s="36">
        <v>5000</v>
      </c>
      <c r="K36" s="36"/>
      <c r="L36" s="36"/>
      <c r="M36" s="36"/>
      <c r="N36" s="36"/>
      <c r="O36" s="36"/>
    </row>
    <row r="37" spans="1:15" s="37" customFormat="1" ht="11.25" hidden="1">
      <c r="A37" s="38"/>
      <c r="B37" s="35" t="s">
        <v>115</v>
      </c>
      <c r="C37" s="36">
        <v>15000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s="2" customFormat="1">
      <c r="A38" s="7" t="s">
        <v>41</v>
      </c>
      <c r="B38" s="18" t="s">
        <v>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s="2" customFormat="1">
      <c r="A39" s="7" t="s">
        <v>42</v>
      </c>
      <c r="B39" s="18" t="s">
        <v>4</v>
      </c>
      <c r="C39" s="30">
        <f t="shared" ref="C39:N39" si="20">C20-C21-C38</f>
        <v>6054855</v>
      </c>
      <c r="D39" s="30">
        <f t="shared" si="20"/>
        <v>2672023</v>
      </c>
      <c r="E39" s="30">
        <f t="shared" si="20"/>
        <v>1826242.0700000003</v>
      </c>
      <c r="F39" s="30">
        <f t="shared" si="20"/>
        <v>1620735.3121000007</v>
      </c>
      <c r="G39" s="30">
        <f t="shared" si="20"/>
        <v>1569602.3714630008</v>
      </c>
      <c r="H39" s="30">
        <f t="shared" si="20"/>
        <v>1335600.4426068906</v>
      </c>
      <c r="I39" s="30">
        <f t="shared" si="20"/>
        <v>1218278.4558850974</v>
      </c>
      <c r="J39" s="30">
        <f t="shared" si="20"/>
        <v>1312686.8095616493</v>
      </c>
      <c r="K39" s="30">
        <f t="shared" si="20"/>
        <v>908877.41384849884</v>
      </c>
      <c r="L39" s="30">
        <f t="shared" si="20"/>
        <v>931903.73626395501</v>
      </c>
      <c r="M39" s="30">
        <f t="shared" si="20"/>
        <v>1261820.8483518735</v>
      </c>
      <c r="N39" s="30">
        <f t="shared" si="20"/>
        <v>1353685.4738024324</v>
      </c>
      <c r="O39" s="30">
        <f t="shared" ref="O39" si="21">O20-O21-O38</f>
        <v>1499056.0380165055</v>
      </c>
    </row>
    <row r="40" spans="1:15" s="2" customFormat="1">
      <c r="A40" s="7" t="s">
        <v>21</v>
      </c>
      <c r="B40" s="23" t="s">
        <v>93</v>
      </c>
      <c r="C40" s="31">
        <v>11284855</v>
      </c>
      <c r="D40" s="31">
        <v>3072023</v>
      </c>
      <c r="E40" s="31">
        <f>E39</f>
        <v>1826242.0700000003</v>
      </c>
      <c r="F40" s="31">
        <f>F39</f>
        <v>1620735.3121000007</v>
      </c>
      <c r="G40" s="31">
        <f t="shared" ref="G40:M40" si="22">G39</f>
        <v>1569602.3714630008</v>
      </c>
      <c r="H40" s="31">
        <f t="shared" si="22"/>
        <v>1335600.4426068906</v>
      </c>
      <c r="I40" s="31">
        <f t="shared" si="22"/>
        <v>1218278.4558850974</v>
      </c>
      <c r="J40" s="31">
        <f t="shared" si="22"/>
        <v>1312686.8095616493</v>
      </c>
      <c r="K40" s="31">
        <f t="shared" si="22"/>
        <v>908877.41384849884</v>
      </c>
      <c r="L40" s="31">
        <f t="shared" si="22"/>
        <v>931903.73626395501</v>
      </c>
      <c r="M40" s="31">
        <f t="shared" si="22"/>
        <v>1261820.8483518735</v>
      </c>
      <c r="N40" s="31">
        <f t="shared" ref="N40:O40" si="23">N39</f>
        <v>1353685.4738024324</v>
      </c>
      <c r="O40" s="31">
        <f t="shared" si="23"/>
        <v>1499056.0380165055</v>
      </c>
    </row>
    <row r="41" spans="1:15" s="2" customFormat="1">
      <c r="A41" s="9" t="s">
        <v>22</v>
      </c>
      <c r="B41" s="24" t="s">
        <v>17</v>
      </c>
      <c r="C41" s="31">
        <v>8247830</v>
      </c>
      <c r="D41" s="31">
        <v>3048523</v>
      </c>
      <c r="E41" s="31">
        <v>1754242</v>
      </c>
      <c r="F41" s="31">
        <v>10000</v>
      </c>
      <c r="G41" s="31">
        <v>10000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s="2" customFormat="1">
      <c r="A42" s="7" t="s">
        <v>23</v>
      </c>
      <c r="B42" s="23" t="s">
        <v>94</v>
      </c>
      <c r="C42" s="25">
        <v>5230000</v>
      </c>
      <c r="D42" s="25">
        <v>400000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2" customFormat="1">
      <c r="A43" s="7" t="s">
        <v>24</v>
      </c>
      <c r="B43" s="8" t="s">
        <v>95</v>
      </c>
      <c r="C43" s="26">
        <f>C39-C40+C42</f>
        <v>0</v>
      </c>
      <c r="D43" s="26">
        <f t="shared" ref="D43:G43" si="24">D39-D40+D42</f>
        <v>0</v>
      </c>
      <c r="E43" s="26">
        <f t="shared" si="24"/>
        <v>0</v>
      </c>
      <c r="F43" s="26">
        <f t="shared" si="24"/>
        <v>0</v>
      </c>
      <c r="G43" s="26">
        <f t="shared" si="24"/>
        <v>0</v>
      </c>
      <c r="H43" s="26">
        <f t="shared" ref="H43:M43" si="25">H39-H40+H42</f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ref="N43:O43" si="26">N39-N40+N42</f>
        <v>0</v>
      </c>
      <c r="O43" s="26">
        <f t="shared" si="26"/>
        <v>0</v>
      </c>
    </row>
    <row r="44" spans="1:15" s="2" customFormat="1">
      <c r="A44" s="12" t="s">
        <v>5</v>
      </c>
      <c r="B44" s="13" t="s">
        <v>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2" customFormat="1">
      <c r="A45" s="7" t="s">
        <v>25</v>
      </c>
      <c r="B45" s="8" t="s">
        <v>96</v>
      </c>
      <c r="C45" s="25">
        <f>4782097+C42-600000</f>
        <v>9412097</v>
      </c>
      <c r="D45" s="25">
        <f>C45-D22+D42</f>
        <v>9110325</v>
      </c>
      <c r="E45" s="25">
        <f t="shared" ref="E45:O45" si="27">D45-E22+E42</f>
        <v>8030000</v>
      </c>
      <c r="F45" s="25">
        <f t="shared" si="27"/>
        <v>7940000</v>
      </c>
      <c r="G45" s="25">
        <f t="shared" si="27"/>
        <v>7740000</v>
      </c>
      <c r="H45" s="25">
        <f t="shared" si="27"/>
        <v>7240000</v>
      </c>
      <c r="I45" s="25">
        <f t="shared" si="27"/>
        <v>6540000</v>
      </c>
      <c r="J45" s="25">
        <f t="shared" si="27"/>
        <v>5840000</v>
      </c>
      <c r="K45" s="25">
        <f t="shared" si="27"/>
        <v>4640000</v>
      </c>
      <c r="L45" s="25">
        <f t="shared" si="27"/>
        <v>3340000</v>
      </c>
      <c r="M45" s="25">
        <f t="shared" si="27"/>
        <v>2240000</v>
      </c>
      <c r="N45" s="25">
        <f t="shared" si="27"/>
        <v>1110000</v>
      </c>
      <c r="O45" s="25">
        <f t="shared" si="27"/>
        <v>0</v>
      </c>
    </row>
    <row r="46" spans="1:15" s="46" customFormat="1" ht="27">
      <c r="A46" s="49" t="s">
        <v>18</v>
      </c>
      <c r="B46" s="48" t="s">
        <v>128</v>
      </c>
      <c r="C46" s="47">
        <v>2179658</v>
      </c>
      <c r="D46" s="47">
        <v>390250</v>
      </c>
      <c r="E46" s="47">
        <v>390250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</row>
    <row r="47" spans="1:15" s="2" customFormat="1" ht="25.5">
      <c r="A47" s="9" t="s">
        <v>19</v>
      </c>
      <c r="B47" s="11" t="s">
        <v>62</v>
      </c>
      <c r="C47" s="25">
        <v>2179658</v>
      </c>
      <c r="D47" s="25">
        <v>33250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2" customFormat="1" ht="39.75">
      <c r="A48" s="7" t="s">
        <v>6</v>
      </c>
      <c r="B48" s="8" t="s">
        <v>97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s="2" customFormat="1">
      <c r="A49" s="7" t="s">
        <v>7</v>
      </c>
      <c r="B49" s="8" t="s">
        <v>98</v>
      </c>
      <c r="C49" s="42">
        <f>C21/C6</f>
        <v>0.17300550029844566</v>
      </c>
      <c r="D49" s="42">
        <f t="shared" ref="D49:G49" si="28">D21/D6</f>
        <v>6.976143829888902E-2</v>
      </c>
      <c r="E49" s="42">
        <f t="shared" si="28"/>
        <v>9.1793521851962434E-2</v>
      </c>
      <c r="F49" s="42">
        <f t="shared" si="28"/>
        <v>3.1107594936708862E-2</v>
      </c>
      <c r="G49" s="42">
        <f t="shared" si="28"/>
        <v>3.6704580387334769E-2</v>
      </c>
      <c r="H49" s="42">
        <f t="shared" ref="H49:M49" si="29">H21/H6</f>
        <v>5.2974357902406538E-2</v>
      </c>
      <c r="I49" s="42">
        <f t="shared" si="29"/>
        <v>6.1610689651901633E-2</v>
      </c>
      <c r="J49" s="42">
        <f t="shared" si="29"/>
        <v>5.7874197150730937E-2</v>
      </c>
      <c r="K49" s="42">
        <f t="shared" si="29"/>
        <v>8.1669525881840205E-2</v>
      </c>
      <c r="L49" s="42">
        <f t="shared" si="29"/>
        <v>8.1455520416053723E-2</v>
      </c>
      <c r="M49" s="42">
        <f t="shared" si="29"/>
        <v>6.5433923518833106E-2</v>
      </c>
      <c r="N49" s="42">
        <f t="shared" ref="N49:O49" si="30">N21/N6</f>
        <v>6.2302682271332448E-2</v>
      </c>
      <c r="O49" s="42">
        <f t="shared" si="30"/>
        <v>5.6787219292375096E-2</v>
      </c>
    </row>
    <row r="50" spans="1:15" s="2" customFormat="1" ht="18.75" customHeight="1">
      <c r="A50" s="9" t="s">
        <v>18</v>
      </c>
      <c r="B50" s="11" t="s">
        <v>99</v>
      </c>
      <c r="C50" s="42">
        <f>SUM(Arkusz2!C8:E8)/3</f>
        <v>3.3079221695692933E-2</v>
      </c>
      <c r="D50" s="42">
        <f>(SUM(Arkusz2!D8:E8)+((C7+C9-C54)/C6))/3</f>
        <v>1.3888457958400693E-4</v>
      </c>
      <c r="E50" s="42">
        <f>(Arkusz2!E8+((C7+C9-C54)/C6)+((D7+D9-D54)/D6))/3</f>
        <v>7.6966170816582828E-3</v>
      </c>
      <c r="F50" s="42">
        <f t="shared" ref="F50:O50" si="31">((C7+C9-C54)/C6+(D7+D9-D54)/D6+(E7+E9-E54)/E6)/3</f>
        <v>5.0965983126129093E-2</v>
      </c>
      <c r="G50" s="42">
        <f t="shared" si="31"/>
        <v>7.9113147697251016E-2</v>
      </c>
      <c r="H50" s="42">
        <f t="shared" si="31"/>
        <v>0.10080916375573774</v>
      </c>
      <c r="I50" s="42">
        <f t="shared" si="31"/>
        <v>0.10890008273968788</v>
      </c>
      <c r="J50" s="42">
        <f t="shared" si="31"/>
        <v>0.10990418185629296</v>
      </c>
      <c r="K50" s="42">
        <f t="shared" si="31"/>
        <v>0.11144488423081282</v>
      </c>
      <c r="L50" s="42">
        <f t="shared" si="31"/>
        <v>0.11338110306688759</v>
      </c>
      <c r="M50" s="42">
        <f t="shared" si="31"/>
        <v>0.11584186898821119</v>
      </c>
      <c r="N50" s="42">
        <f t="shared" si="31"/>
        <v>0.11869367193861481</v>
      </c>
      <c r="O50" s="42">
        <f t="shared" si="31"/>
        <v>0.12174475440747186</v>
      </c>
    </row>
    <row r="51" spans="1:15" s="2" customFormat="1" ht="30.75" customHeight="1">
      <c r="A51" s="7" t="s">
        <v>26</v>
      </c>
      <c r="B51" s="8" t="s">
        <v>100</v>
      </c>
      <c r="C51" s="25" t="str">
        <f>IF(C49&lt;=C50,"Zgodny z art. 243","Niezgodny z art. 243")</f>
        <v>Niezgodny z art. 243</v>
      </c>
      <c r="D51" s="25" t="str">
        <f t="shared" ref="D51:M51" si="32">IF(D49&lt;=D50,"Zgodny z art. 243","Niezgodny z art. 243")</f>
        <v>Niezgodny z art. 243</v>
      </c>
      <c r="E51" s="25" t="str">
        <f t="shared" si="32"/>
        <v>Niezgodny z art. 243</v>
      </c>
      <c r="F51" s="25" t="str">
        <f t="shared" si="32"/>
        <v>Zgodny z art. 243</v>
      </c>
      <c r="G51" s="25" t="str">
        <f t="shared" si="32"/>
        <v>Zgodny z art. 243</v>
      </c>
      <c r="H51" s="25" t="str">
        <f t="shared" si="32"/>
        <v>Zgodny z art. 243</v>
      </c>
      <c r="I51" s="25" t="str">
        <f t="shared" si="32"/>
        <v>Zgodny z art. 243</v>
      </c>
      <c r="J51" s="25" t="str">
        <f t="shared" si="32"/>
        <v>Zgodny z art. 243</v>
      </c>
      <c r="K51" s="25" t="str">
        <f t="shared" si="32"/>
        <v>Zgodny z art. 243</v>
      </c>
      <c r="L51" s="25" t="str">
        <f t="shared" si="32"/>
        <v>Zgodny z art. 243</v>
      </c>
      <c r="M51" s="25" t="str">
        <f t="shared" si="32"/>
        <v>Zgodny z art. 243</v>
      </c>
      <c r="N51" s="25" t="str">
        <f t="shared" ref="N51:O51" si="33">IF(N49&lt;=N50,"Zgodny z art. 243","Niezgodny z art. 243")</f>
        <v>Zgodny z art. 243</v>
      </c>
      <c r="O51" s="25" t="str">
        <f t="shared" si="33"/>
        <v>Zgodny z art. 243</v>
      </c>
    </row>
    <row r="52" spans="1:15" s="2" customFormat="1" ht="27">
      <c r="A52" s="7" t="s">
        <v>27</v>
      </c>
      <c r="B52" s="8" t="s">
        <v>101</v>
      </c>
      <c r="C52" s="41">
        <f>(C21-C47)/C6</f>
        <v>5.850942537222447E-2</v>
      </c>
      <c r="D52" s="41">
        <f>(D21-D47)/D6</f>
        <v>6.7775415123641145E-2</v>
      </c>
      <c r="E52" s="41">
        <f>(E21-E47)/E6</f>
        <v>9.1793521851962434E-2</v>
      </c>
      <c r="F52" s="33" t="s">
        <v>110</v>
      </c>
      <c r="G52" s="33" t="s">
        <v>110</v>
      </c>
      <c r="H52" s="33" t="s">
        <v>110</v>
      </c>
      <c r="I52" s="33" t="s">
        <v>110</v>
      </c>
      <c r="J52" s="33" t="s">
        <v>110</v>
      </c>
      <c r="K52" s="33" t="s">
        <v>110</v>
      </c>
      <c r="L52" s="33" t="s">
        <v>110</v>
      </c>
      <c r="M52" s="33" t="s">
        <v>110</v>
      </c>
      <c r="N52" s="33" t="s">
        <v>110</v>
      </c>
      <c r="O52" s="33" t="s">
        <v>110</v>
      </c>
    </row>
    <row r="53" spans="1:15" s="2" customFormat="1" ht="27">
      <c r="A53" s="7" t="s">
        <v>28</v>
      </c>
      <c r="B53" s="8" t="s">
        <v>102</v>
      </c>
      <c r="C53" s="41">
        <f>(C45-C46)/C6</f>
        <v>0.37991550859966294</v>
      </c>
      <c r="D53" s="41">
        <f>(D45-D46)/D6</f>
        <v>0.52085025683908737</v>
      </c>
      <c r="E53" s="41">
        <f>(E45-E46)/E6</f>
        <v>0.45903520500648348</v>
      </c>
      <c r="F53" s="33" t="s">
        <v>110</v>
      </c>
      <c r="G53" s="33" t="s">
        <v>110</v>
      </c>
      <c r="H53" s="33" t="s">
        <v>110</v>
      </c>
      <c r="I53" s="33" t="s">
        <v>110</v>
      </c>
      <c r="J53" s="33" t="s">
        <v>110</v>
      </c>
      <c r="K53" s="33" t="s">
        <v>110</v>
      </c>
      <c r="L53" s="33" t="s">
        <v>110</v>
      </c>
      <c r="M53" s="33" t="s">
        <v>110</v>
      </c>
      <c r="N53" s="33" t="s">
        <v>110</v>
      </c>
      <c r="O53" s="33" t="s">
        <v>110</v>
      </c>
    </row>
    <row r="54" spans="1:15" s="2" customFormat="1">
      <c r="A54" s="7" t="s">
        <v>29</v>
      </c>
      <c r="B54" s="8" t="s">
        <v>8</v>
      </c>
      <c r="C54" s="26">
        <f t="shared" ref="C54:N54" si="34">C10+C30</f>
        <v>13222490</v>
      </c>
      <c r="D54" s="26">
        <f t="shared" si="34"/>
        <v>13368205</v>
      </c>
      <c r="E54" s="26">
        <f t="shared" si="34"/>
        <v>13736491.93</v>
      </c>
      <c r="F54" s="26">
        <f t="shared" si="34"/>
        <v>14089264.687899999</v>
      </c>
      <c r="G54" s="26">
        <f t="shared" si="34"/>
        <v>14495397.628536999</v>
      </c>
      <c r="H54" s="26">
        <f t="shared" si="34"/>
        <v>14908349.557393109</v>
      </c>
      <c r="I54" s="26">
        <f t="shared" si="34"/>
        <v>15318990.044114903</v>
      </c>
      <c r="J54" s="26">
        <f t="shared" si="34"/>
        <v>15732699.74543835</v>
      </c>
      <c r="K54" s="26">
        <f t="shared" si="34"/>
        <v>16159870.737801502</v>
      </c>
      <c r="L54" s="26">
        <f t="shared" si="34"/>
        <v>16575906.859935546</v>
      </c>
      <c r="M54" s="26">
        <f t="shared" si="34"/>
        <v>17001224.065733612</v>
      </c>
      <c r="N54" s="26">
        <f t="shared" si="34"/>
        <v>17451250.787705619</v>
      </c>
      <c r="O54" s="26">
        <f t="shared" ref="O54" si="35">O10+O30</f>
        <v>17914928.311336789</v>
      </c>
    </row>
    <row r="55" spans="1:15" s="2" customFormat="1">
      <c r="A55" s="7" t="s">
        <v>30</v>
      </c>
      <c r="B55" s="8" t="s">
        <v>9</v>
      </c>
      <c r="C55" s="26">
        <f>C40+C54</f>
        <v>24507345</v>
      </c>
      <c r="D55" s="26">
        <f t="shared" ref="D55:G55" si="36">D40+D54</f>
        <v>16440228</v>
      </c>
      <c r="E55" s="26">
        <f t="shared" si="36"/>
        <v>15562734</v>
      </c>
      <c r="F55" s="26">
        <f t="shared" si="36"/>
        <v>15710000</v>
      </c>
      <c r="G55" s="26">
        <f t="shared" si="36"/>
        <v>16065000</v>
      </c>
      <c r="H55" s="26">
        <f t="shared" ref="H55:M55" si="37">H40+H54</f>
        <v>16243950</v>
      </c>
      <c r="I55" s="26">
        <f t="shared" si="37"/>
        <v>16537268.5</v>
      </c>
      <c r="J55" s="26">
        <f t="shared" si="37"/>
        <v>17045386.555</v>
      </c>
      <c r="K55" s="26">
        <f t="shared" si="37"/>
        <v>17068748.15165</v>
      </c>
      <c r="L55" s="26">
        <f t="shared" si="37"/>
        <v>17507810.596199501</v>
      </c>
      <c r="M55" s="26">
        <f t="shared" si="37"/>
        <v>18263044.914085485</v>
      </c>
      <c r="N55" s="26">
        <f t="shared" ref="N55:O55" si="38">N40+N54</f>
        <v>18804936.261508051</v>
      </c>
      <c r="O55" s="26">
        <f t="shared" si="38"/>
        <v>19413984.349353295</v>
      </c>
    </row>
    <row r="56" spans="1:15" s="2" customFormat="1">
      <c r="A56" s="7" t="s">
        <v>31</v>
      </c>
      <c r="B56" s="8" t="s">
        <v>10</v>
      </c>
      <c r="C56" s="26">
        <f t="shared" ref="C56:N56" si="39">C6-C55</f>
        <v>-5470378</v>
      </c>
      <c r="D56" s="26">
        <f t="shared" si="39"/>
        <v>301772</v>
      </c>
      <c r="E56" s="26">
        <f t="shared" si="39"/>
        <v>1080325</v>
      </c>
      <c r="F56" s="26">
        <f t="shared" si="39"/>
        <v>90000</v>
      </c>
      <c r="G56" s="26">
        <f t="shared" si="39"/>
        <v>200000</v>
      </c>
      <c r="H56" s="26">
        <f t="shared" si="39"/>
        <v>500000</v>
      </c>
      <c r="I56" s="26">
        <f t="shared" si="39"/>
        <v>700000</v>
      </c>
      <c r="J56" s="26">
        <f t="shared" si="39"/>
        <v>700000</v>
      </c>
      <c r="K56" s="26">
        <f t="shared" si="39"/>
        <v>1200000</v>
      </c>
      <c r="L56" s="26">
        <f t="shared" si="39"/>
        <v>1300000</v>
      </c>
      <c r="M56" s="26">
        <f t="shared" si="39"/>
        <v>1100000</v>
      </c>
      <c r="N56" s="26">
        <f t="shared" si="39"/>
        <v>1130000</v>
      </c>
      <c r="O56" s="26">
        <f t="shared" ref="O56" si="40">O6-O55</f>
        <v>1110000</v>
      </c>
    </row>
    <row r="57" spans="1:15" s="2" customFormat="1">
      <c r="A57" s="7" t="s">
        <v>32</v>
      </c>
      <c r="B57" s="8" t="s">
        <v>11</v>
      </c>
      <c r="C57" s="26">
        <f>C42+C19+C17</f>
        <v>8369378</v>
      </c>
      <c r="D57" s="26">
        <v>400000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</row>
    <row r="58" spans="1:15" s="2" customFormat="1">
      <c r="A58" s="7" t="s">
        <v>33</v>
      </c>
      <c r="B58" s="8" t="s">
        <v>12</v>
      </c>
      <c r="C58" s="26">
        <f t="shared" ref="C58:N58" si="41">C22+C38</f>
        <v>2899000</v>
      </c>
      <c r="D58" s="26">
        <f t="shared" si="41"/>
        <v>701772</v>
      </c>
      <c r="E58" s="26">
        <f t="shared" si="41"/>
        <v>1080325</v>
      </c>
      <c r="F58" s="26">
        <f t="shared" si="41"/>
        <v>90000</v>
      </c>
      <c r="G58" s="26">
        <f t="shared" si="41"/>
        <v>200000</v>
      </c>
      <c r="H58" s="26">
        <f t="shared" si="41"/>
        <v>500000</v>
      </c>
      <c r="I58" s="26">
        <f t="shared" si="41"/>
        <v>700000</v>
      </c>
      <c r="J58" s="26">
        <f t="shared" si="41"/>
        <v>700000</v>
      </c>
      <c r="K58" s="26">
        <f t="shared" si="41"/>
        <v>1200000</v>
      </c>
      <c r="L58" s="26">
        <f t="shared" si="41"/>
        <v>1300000</v>
      </c>
      <c r="M58" s="26">
        <f t="shared" si="41"/>
        <v>1100000</v>
      </c>
      <c r="N58" s="26">
        <f t="shared" si="41"/>
        <v>1130000</v>
      </c>
      <c r="O58" s="26">
        <f t="shared" ref="O58" si="42">O22+O38</f>
        <v>1110000</v>
      </c>
    </row>
    <row r="59" spans="1:15">
      <c r="C59" s="44">
        <f>C56+C57-C58</f>
        <v>0</v>
      </c>
      <c r="D59" s="44">
        <f t="shared" ref="D59:O59" si="43">D56+D57-D58</f>
        <v>0</v>
      </c>
      <c r="E59" s="44">
        <f t="shared" si="43"/>
        <v>0</v>
      </c>
      <c r="F59" s="44">
        <f t="shared" si="43"/>
        <v>0</v>
      </c>
      <c r="G59" s="44">
        <f t="shared" si="43"/>
        <v>0</v>
      </c>
      <c r="H59" s="44">
        <f t="shared" si="43"/>
        <v>0</v>
      </c>
      <c r="I59" s="44">
        <f t="shared" si="43"/>
        <v>0</v>
      </c>
      <c r="J59" s="44">
        <f t="shared" si="43"/>
        <v>0</v>
      </c>
      <c r="K59" s="44">
        <f t="shared" si="43"/>
        <v>0</v>
      </c>
      <c r="L59" s="44">
        <f t="shared" si="43"/>
        <v>0</v>
      </c>
      <c r="M59" s="44">
        <f t="shared" si="43"/>
        <v>0</v>
      </c>
      <c r="N59" s="44">
        <f t="shared" si="43"/>
        <v>0</v>
      </c>
      <c r="O59" s="44">
        <f t="shared" si="43"/>
        <v>0</v>
      </c>
    </row>
    <row r="60" spans="1:15" s="2" customFormat="1" ht="42.75" customHeight="1">
      <c r="A60" s="14" t="s">
        <v>43</v>
      </c>
      <c r="B60" s="154" t="s">
        <v>79</v>
      </c>
      <c r="C60" s="154"/>
      <c r="D60" s="154"/>
      <c r="E60" s="154"/>
      <c r="F60" s="154"/>
      <c r="G60" s="154"/>
      <c r="H60" s="154"/>
    </row>
    <row r="61" spans="1:15" s="2" customFormat="1" ht="16.5">
      <c r="A61" s="14" t="s">
        <v>44</v>
      </c>
      <c r="B61" s="154" t="s">
        <v>63</v>
      </c>
      <c r="C61" s="154"/>
      <c r="D61" s="154"/>
      <c r="E61" s="154"/>
      <c r="F61" s="154"/>
      <c r="G61" s="154"/>
      <c r="H61" s="154"/>
    </row>
    <row r="62" spans="1:15" s="2" customFormat="1" ht="15.75" customHeight="1">
      <c r="A62" s="14" t="s">
        <v>45</v>
      </c>
      <c r="B62" s="154" t="s">
        <v>67</v>
      </c>
      <c r="C62" s="154"/>
      <c r="D62" s="154"/>
      <c r="E62" s="154"/>
      <c r="F62" s="154"/>
      <c r="G62" s="154"/>
      <c r="H62" s="154"/>
    </row>
    <row r="63" spans="1:15" s="2" customFormat="1" ht="16.5">
      <c r="A63" s="14" t="s">
        <v>46</v>
      </c>
      <c r="B63" s="154" t="s">
        <v>68</v>
      </c>
      <c r="C63" s="154"/>
      <c r="D63" s="154"/>
      <c r="E63" s="154"/>
      <c r="F63" s="154"/>
      <c r="G63" s="154"/>
      <c r="H63" s="154"/>
    </row>
    <row r="64" spans="1:15" s="2" customFormat="1" ht="16.5">
      <c r="A64" s="14" t="s">
        <v>47</v>
      </c>
      <c r="B64" s="154" t="s">
        <v>69</v>
      </c>
      <c r="C64" s="154"/>
      <c r="D64" s="154"/>
      <c r="E64" s="154"/>
      <c r="F64" s="154"/>
      <c r="G64" s="154"/>
      <c r="H64" s="154"/>
    </row>
    <row r="65" spans="1:8" s="2" customFormat="1" ht="16.5">
      <c r="A65" s="14" t="s">
        <v>48</v>
      </c>
      <c r="B65" s="154" t="s">
        <v>64</v>
      </c>
      <c r="C65" s="154"/>
      <c r="D65" s="154"/>
      <c r="E65" s="154"/>
      <c r="F65" s="154"/>
      <c r="G65" s="154"/>
      <c r="H65" s="154"/>
    </row>
    <row r="66" spans="1:8" s="2" customFormat="1" ht="16.5">
      <c r="A66" s="14" t="s">
        <v>49</v>
      </c>
      <c r="B66" s="154" t="s">
        <v>70</v>
      </c>
      <c r="C66" s="154"/>
      <c r="D66" s="154"/>
      <c r="E66" s="154"/>
      <c r="F66" s="154"/>
      <c r="G66" s="154"/>
      <c r="H66" s="154"/>
    </row>
    <row r="67" spans="1:8" s="2" customFormat="1" ht="16.5">
      <c r="A67" s="14" t="s">
        <v>50</v>
      </c>
      <c r="B67" s="154" t="s">
        <v>71</v>
      </c>
      <c r="C67" s="154"/>
      <c r="D67" s="154"/>
      <c r="E67" s="154"/>
      <c r="F67" s="154"/>
      <c r="G67" s="154"/>
      <c r="H67" s="154"/>
    </row>
    <row r="68" spans="1:8" s="2" customFormat="1" ht="16.5">
      <c r="A68" s="14" t="s">
        <v>51</v>
      </c>
      <c r="B68" s="154" t="s">
        <v>72</v>
      </c>
      <c r="C68" s="154"/>
      <c r="D68" s="154"/>
      <c r="E68" s="154"/>
      <c r="F68" s="154"/>
      <c r="G68" s="154"/>
      <c r="H68" s="154"/>
    </row>
    <row r="69" spans="1:8" s="2" customFormat="1" ht="31.5" customHeight="1">
      <c r="A69" s="14" t="s">
        <v>52</v>
      </c>
      <c r="B69" s="154" t="s">
        <v>73</v>
      </c>
      <c r="C69" s="154"/>
      <c r="D69" s="154"/>
      <c r="E69" s="154"/>
      <c r="F69" s="154"/>
      <c r="G69" s="154"/>
      <c r="H69" s="154"/>
    </row>
    <row r="70" spans="1:8" s="2" customFormat="1" ht="43.5" customHeight="1">
      <c r="A70" s="14" t="s">
        <v>53</v>
      </c>
      <c r="B70" s="154" t="s">
        <v>80</v>
      </c>
      <c r="C70" s="154"/>
      <c r="D70" s="154"/>
      <c r="E70" s="154"/>
      <c r="F70" s="154"/>
      <c r="G70" s="154"/>
      <c r="H70" s="154"/>
    </row>
    <row r="71" spans="1:8" s="2" customFormat="1" ht="16.5">
      <c r="A71" s="14" t="s">
        <v>54</v>
      </c>
      <c r="B71" s="154" t="s">
        <v>74</v>
      </c>
      <c r="C71" s="154"/>
      <c r="D71" s="154"/>
      <c r="E71" s="154"/>
      <c r="F71" s="154"/>
      <c r="G71" s="154"/>
      <c r="H71" s="154"/>
    </row>
    <row r="72" spans="1:8" s="2" customFormat="1" ht="16.5">
      <c r="A72" s="14" t="s">
        <v>55</v>
      </c>
      <c r="B72" s="154" t="s">
        <v>65</v>
      </c>
      <c r="C72" s="154"/>
      <c r="D72" s="154"/>
      <c r="E72" s="154"/>
      <c r="F72" s="154"/>
      <c r="G72" s="154"/>
      <c r="H72" s="154"/>
    </row>
    <row r="73" spans="1:8" s="2" customFormat="1" ht="16.5">
      <c r="A73" s="14" t="s">
        <v>56</v>
      </c>
      <c r="B73" s="154" t="s">
        <v>75</v>
      </c>
      <c r="C73" s="154"/>
      <c r="D73" s="154"/>
      <c r="E73" s="154"/>
      <c r="F73" s="154"/>
      <c r="G73" s="154"/>
      <c r="H73" s="154"/>
    </row>
    <row r="74" spans="1:8" s="2" customFormat="1" ht="16.5">
      <c r="A74" s="14" t="s">
        <v>57</v>
      </c>
      <c r="B74" s="154" t="s">
        <v>76</v>
      </c>
      <c r="C74" s="154"/>
      <c r="D74" s="154"/>
      <c r="E74" s="154"/>
      <c r="F74" s="154"/>
      <c r="G74" s="154"/>
      <c r="H74" s="154"/>
    </row>
    <row r="75" spans="1:8" s="2" customFormat="1" ht="28.5" customHeight="1">
      <c r="A75" s="14" t="s">
        <v>58</v>
      </c>
      <c r="B75" s="154" t="s">
        <v>77</v>
      </c>
      <c r="C75" s="154"/>
      <c r="D75" s="154"/>
      <c r="E75" s="154"/>
      <c r="F75" s="154"/>
      <c r="G75" s="154"/>
      <c r="H75" s="154"/>
    </row>
    <row r="76" spans="1:8" s="2" customFormat="1" ht="16.5">
      <c r="A76" s="14" t="s">
        <v>59</v>
      </c>
      <c r="B76" s="154" t="s">
        <v>66</v>
      </c>
      <c r="C76" s="154"/>
      <c r="D76" s="154"/>
      <c r="E76" s="154"/>
      <c r="F76" s="154"/>
      <c r="G76" s="154"/>
      <c r="H76" s="154"/>
    </row>
    <row r="77" spans="1:8" s="2" customFormat="1" ht="16.5">
      <c r="A77" s="14" t="s">
        <v>60</v>
      </c>
      <c r="B77" s="154" t="s">
        <v>78</v>
      </c>
      <c r="C77" s="154"/>
      <c r="D77" s="154"/>
      <c r="E77" s="154"/>
      <c r="F77" s="154"/>
      <c r="G77" s="154"/>
      <c r="H77" s="154"/>
    </row>
    <row r="78" spans="1:8" s="2" customFormat="1">
      <c r="A78" s="15"/>
      <c r="B78" s="16"/>
      <c r="C78" s="17"/>
      <c r="D78" s="17"/>
      <c r="E78" s="17"/>
      <c r="F78" s="17"/>
      <c r="G78" s="17"/>
      <c r="H78" s="17"/>
    </row>
    <row r="79" spans="1:8" s="2" customFormat="1" ht="26.25" customHeight="1">
      <c r="A79" s="154" t="s">
        <v>107</v>
      </c>
      <c r="B79" s="154"/>
      <c r="C79" s="154"/>
      <c r="D79" s="154"/>
      <c r="E79" s="154"/>
      <c r="F79" s="154"/>
      <c r="G79" s="154"/>
      <c r="H79" s="154"/>
    </row>
    <row r="80" spans="1:8">
      <c r="A80" s="157" t="s">
        <v>108</v>
      </c>
      <c r="B80" s="157"/>
      <c r="C80" s="157"/>
      <c r="D80" s="157"/>
      <c r="E80" s="157"/>
      <c r="F80" s="157"/>
      <c r="G80" s="157"/>
      <c r="H80" s="157"/>
    </row>
    <row r="81" spans="2:2">
      <c r="B81" s="3"/>
    </row>
    <row r="82" spans="2:2">
      <c r="B82" s="3"/>
    </row>
  </sheetData>
  <mergeCells count="22">
    <mergeCell ref="A80:H80"/>
    <mergeCell ref="A79:H79"/>
    <mergeCell ref="B72:H72"/>
    <mergeCell ref="B73:H73"/>
    <mergeCell ref="B74:H74"/>
    <mergeCell ref="B75:H75"/>
    <mergeCell ref="B76:H76"/>
    <mergeCell ref="B68:H68"/>
    <mergeCell ref="B69:H69"/>
    <mergeCell ref="B70:H70"/>
    <mergeCell ref="B71:H71"/>
    <mergeCell ref="B77:H77"/>
    <mergeCell ref="B63:H63"/>
    <mergeCell ref="B64:H64"/>
    <mergeCell ref="B65:H65"/>
    <mergeCell ref="B66:H66"/>
    <mergeCell ref="B67:H67"/>
    <mergeCell ref="K1:L1"/>
    <mergeCell ref="B60:H60"/>
    <mergeCell ref="B61:H61"/>
    <mergeCell ref="A2:M2"/>
    <mergeCell ref="B62:H62"/>
  </mergeCells>
  <printOptions horizontalCentered="1"/>
  <pageMargins left="0.27559055118110237" right="0.27559055118110237" top="0.39370078740157483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B34" sqref="B34"/>
    </sheetView>
  </sheetViews>
  <sheetFormatPr defaultRowHeight="14.25"/>
  <cols>
    <col min="2" max="2" width="50.75" customWidth="1"/>
    <col min="3" max="3" width="14.25" customWidth="1"/>
    <col min="4" max="4" width="12.875" customWidth="1"/>
    <col min="5" max="5" width="14.25" customWidth="1"/>
  </cols>
  <sheetData>
    <row r="2" spans="2:5">
      <c r="C2">
        <v>2008</v>
      </c>
      <c r="D2">
        <v>2009</v>
      </c>
      <c r="E2" t="s">
        <v>117</v>
      </c>
    </row>
    <row r="3" spans="2:5">
      <c r="B3" s="8" t="s">
        <v>89</v>
      </c>
      <c r="C3">
        <v>14029985</v>
      </c>
      <c r="D3">
        <v>14230011.77</v>
      </c>
      <c r="E3">
        <v>19586791.199999999</v>
      </c>
    </row>
    <row r="4" spans="2:5">
      <c r="B4" s="10" t="s">
        <v>13</v>
      </c>
      <c r="C4">
        <v>13140171</v>
      </c>
      <c r="D4">
        <v>13426176</v>
      </c>
      <c r="E4" s="40">
        <v>13110955.199999999</v>
      </c>
    </row>
    <row r="5" spans="2:5">
      <c r="B5" s="11" t="s">
        <v>14</v>
      </c>
      <c r="D5">
        <v>803836</v>
      </c>
    </row>
    <row r="6" spans="2:5">
      <c r="B6" s="11" t="s">
        <v>87</v>
      </c>
      <c r="C6">
        <v>243478.44</v>
      </c>
      <c r="D6">
        <v>134056.76</v>
      </c>
      <c r="E6">
        <v>123500</v>
      </c>
    </row>
    <row r="7" spans="2:5">
      <c r="B7" s="8" t="s">
        <v>116</v>
      </c>
      <c r="C7">
        <v>11662817</v>
      </c>
      <c r="D7">
        <v>13260876.960000001</v>
      </c>
      <c r="E7">
        <v>14105150.199999999</v>
      </c>
    </row>
    <row r="8" spans="2:5">
      <c r="C8">
        <f>(C4-C7+C6)/C3</f>
        <v>0.12265390447673322</v>
      </c>
      <c r="D8">
        <f t="shared" ref="D8" si="0">(D4-D7+D6)/D3</f>
        <v>2.1036932705221445E-2</v>
      </c>
      <c r="E8">
        <f>(E4-E7+E6)/E3</f>
        <v>-4.4453172094875856E-2</v>
      </c>
    </row>
    <row r="10" spans="2:5">
      <c r="C10">
        <f>SUM(C8:E8)/3</f>
        <v>3.3079221695692933E-2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7"/>
  <sheetViews>
    <sheetView workbookViewId="0">
      <selection activeCell="I7" sqref="I7"/>
    </sheetView>
  </sheetViews>
  <sheetFormatPr defaultRowHeight="14.25"/>
  <sheetData>
    <row r="6" spans="5:11">
      <c r="E6" s="36">
        <v>90000</v>
      </c>
      <c r="F6" s="36">
        <v>100000</v>
      </c>
      <c r="G6" s="36">
        <v>400000</v>
      </c>
      <c r="H6" s="36">
        <v>600000</v>
      </c>
      <c r="I6" s="36">
        <v>600000</v>
      </c>
      <c r="J6" s="36">
        <v>600000</v>
      </c>
      <c r="K6" s="36">
        <v>700000</v>
      </c>
    </row>
    <row r="7" spans="5:11">
      <c r="E7">
        <f>SUM(E6:K6)*0.05</f>
        <v>154500</v>
      </c>
      <c r="F7">
        <f t="shared" ref="F7:K7" si="0">SUM(F6:L6)*0.05</f>
        <v>150000</v>
      </c>
      <c r="G7">
        <f t="shared" si="0"/>
        <v>145000</v>
      </c>
      <c r="H7">
        <f t="shared" si="0"/>
        <v>125000</v>
      </c>
      <c r="I7">
        <f t="shared" si="0"/>
        <v>95000</v>
      </c>
      <c r="J7">
        <f t="shared" si="0"/>
        <v>65000</v>
      </c>
      <c r="K7">
        <f t="shared" si="0"/>
        <v>35000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opLeftCell="A55" workbookViewId="0">
      <selection activeCell="D52" activeCellId="1" sqref="D44:D46 D52"/>
    </sheetView>
  </sheetViews>
  <sheetFormatPr defaultRowHeight="12.75"/>
  <cols>
    <col min="1" max="1" width="3.875" style="76" customWidth="1"/>
    <col min="2" max="2" width="62" style="76" customWidth="1"/>
    <col min="3" max="9" width="14.5" style="76" customWidth="1"/>
    <col min="10" max="17" width="14.125" style="76" customWidth="1"/>
    <col min="18" max="16384" width="9" style="76"/>
  </cols>
  <sheetData>
    <row r="1" spans="1:17" ht="43.5" customHeight="1">
      <c r="A1" s="50"/>
      <c r="B1" s="74" t="s">
        <v>187</v>
      </c>
      <c r="C1" s="75"/>
      <c r="D1" s="163" t="s">
        <v>215</v>
      </c>
      <c r="E1" s="163"/>
      <c r="F1" s="163"/>
      <c r="G1" s="163"/>
      <c r="H1" s="163"/>
      <c r="I1" s="51"/>
    </row>
    <row r="2" spans="1:17" ht="69.75" customHeight="1">
      <c r="A2" s="50"/>
      <c r="B2" s="164" t="s">
        <v>214</v>
      </c>
      <c r="C2" s="164"/>
      <c r="D2" s="164"/>
      <c r="E2" s="77"/>
      <c r="F2" s="77"/>
      <c r="G2" s="77"/>
      <c r="H2" s="78"/>
      <c r="I2" s="75"/>
    </row>
    <row r="3" spans="1:17" ht="13.5" thickBot="1">
      <c r="A3" s="50"/>
      <c r="B3" s="79"/>
      <c r="C3" s="75"/>
      <c r="D3" s="75"/>
      <c r="E3" s="75"/>
      <c r="F3" s="75"/>
      <c r="G3" s="75"/>
      <c r="H3" s="80" t="s">
        <v>133</v>
      </c>
      <c r="I3" s="75"/>
    </row>
    <row r="4" spans="1:17" ht="13.5" thickBot="1">
      <c r="A4" s="52" t="s">
        <v>82</v>
      </c>
      <c r="B4" s="81" t="s">
        <v>81</v>
      </c>
      <c r="C4" s="165" t="s">
        <v>134</v>
      </c>
      <c r="D4" s="166"/>
      <c r="E4" s="167" t="s">
        <v>135</v>
      </c>
      <c r="F4" s="167"/>
      <c r="G4" s="167"/>
      <c r="H4" s="82"/>
      <c r="I4" s="83"/>
      <c r="J4" s="82"/>
      <c r="K4" s="83"/>
      <c r="L4" s="82"/>
      <c r="M4" s="83"/>
      <c r="N4" s="82"/>
      <c r="O4" s="83"/>
      <c r="P4" s="82"/>
      <c r="Q4" s="83"/>
    </row>
    <row r="5" spans="1:17" ht="13.5" thickBot="1">
      <c r="A5" s="53"/>
      <c r="B5" s="84"/>
      <c r="C5" s="85">
        <v>2009</v>
      </c>
      <c r="D5" s="85">
        <v>2010</v>
      </c>
      <c r="E5" s="85">
        <v>2011</v>
      </c>
      <c r="F5" s="85">
        <v>2012</v>
      </c>
      <c r="G5" s="85">
        <v>2013</v>
      </c>
      <c r="H5" s="85">
        <v>2014</v>
      </c>
      <c r="I5" s="85">
        <v>2015</v>
      </c>
      <c r="J5" s="85">
        <v>2016</v>
      </c>
      <c r="K5" s="85">
        <v>2017</v>
      </c>
      <c r="L5" s="85">
        <v>2018</v>
      </c>
      <c r="M5" s="85">
        <v>2019</v>
      </c>
      <c r="N5" s="85">
        <v>2020</v>
      </c>
      <c r="O5" s="85">
        <v>2021</v>
      </c>
      <c r="P5" s="85">
        <v>2022</v>
      </c>
      <c r="Q5" s="85">
        <v>2023</v>
      </c>
    </row>
    <row r="6" spans="1:17" ht="13.5" thickBot="1">
      <c r="A6" s="54">
        <v>1</v>
      </c>
      <c r="B6" s="86" t="s">
        <v>136</v>
      </c>
      <c r="C6" s="87">
        <f t="shared" ref="C6:D6" si="0">SUM(C7:C8)</f>
        <v>14230012</v>
      </c>
      <c r="D6" s="87">
        <f t="shared" si="0"/>
        <v>16360658</v>
      </c>
      <c r="E6" s="87">
        <f>SUM(E7:E8)</f>
        <v>19036967</v>
      </c>
      <c r="F6" s="87">
        <f t="shared" ref="F6:Q6" si="1">SUM(F7:F8)</f>
        <v>16742000</v>
      </c>
      <c r="G6" s="87">
        <f t="shared" si="1"/>
        <v>16643059</v>
      </c>
      <c r="H6" s="87">
        <f t="shared" si="1"/>
        <v>15800000</v>
      </c>
      <c r="I6" s="87">
        <f t="shared" si="1"/>
        <v>16265000</v>
      </c>
      <c r="J6" s="87">
        <f t="shared" si="1"/>
        <v>16743950</v>
      </c>
      <c r="K6" s="87">
        <f t="shared" si="1"/>
        <v>17237268.5</v>
      </c>
      <c r="L6" s="87">
        <f t="shared" si="1"/>
        <v>17745386.555</v>
      </c>
      <c r="M6" s="87">
        <f t="shared" si="1"/>
        <v>18268748.15165</v>
      </c>
      <c r="N6" s="87">
        <f t="shared" si="1"/>
        <v>18807810.596199501</v>
      </c>
      <c r="O6" s="87">
        <f t="shared" si="1"/>
        <v>19363044.914085485</v>
      </c>
      <c r="P6" s="87">
        <f t="shared" si="1"/>
        <v>19934936.261508051</v>
      </c>
      <c r="Q6" s="87">
        <f t="shared" si="1"/>
        <v>20523984.349353295</v>
      </c>
    </row>
    <row r="7" spans="1:17">
      <c r="A7" s="55">
        <v>2</v>
      </c>
      <c r="B7" s="88" t="s">
        <v>137</v>
      </c>
      <c r="C7" s="89">
        <v>13426176</v>
      </c>
      <c r="D7" s="89">
        <v>13328461</v>
      </c>
      <c r="E7" s="89">
        <f>Arkusz1!C7</f>
        <v>13486196</v>
      </c>
      <c r="F7" s="89">
        <f>Arkusz1!D7</f>
        <v>13700000</v>
      </c>
      <c r="G7" s="89">
        <f>Arkusz1!E7</f>
        <v>14735059</v>
      </c>
      <c r="H7" s="89">
        <f>Arkusz1!F7</f>
        <v>15500000</v>
      </c>
      <c r="I7" s="89">
        <f>Arkusz1!G7</f>
        <v>15965000</v>
      </c>
      <c r="J7" s="89">
        <f>Arkusz1!H7</f>
        <v>16443950</v>
      </c>
      <c r="K7" s="89">
        <f>Arkusz1!I7</f>
        <v>16937268.5</v>
      </c>
      <c r="L7" s="89">
        <f>Arkusz1!J7</f>
        <v>17445386.555</v>
      </c>
      <c r="M7" s="89">
        <f>Arkusz1!K7</f>
        <v>17968748.15165</v>
      </c>
      <c r="N7" s="89">
        <f>Arkusz1!L7</f>
        <v>18507810.596199501</v>
      </c>
      <c r="O7" s="89">
        <f>Arkusz1!M7</f>
        <v>19063044.914085485</v>
      </c>
      <c r="P7" s="89">
        <f>Arkusz1!N7</f>
        <v>19634936.261508051</v>
      </c>
      <c r="Q7" s="89">
        <f>Arkusz1!O7</f>
        <v>20223984.349353295</v>
      </c>
    </row>
    <row r="8" spans="1:17">
      <c r="A8" s="56">
        <v>3</v>
      </c>
      <c r="B8" s="90" t="s">
        <v>138</v>
      </c>
      <c r="C8" s="91">
        <v>803836</v>
      </c>
      <c r="D8" s="91">
        <v>3032197</v>
      </c>
      <c r="E8" s="89">
        <f>Arkusz1!C8</f>
        <v>5550771</v>
      </c>
      <c r="F8" s="89">
        <f>Arkusz1!D8</f>
        <v>3042000</v>
      </c>
      <c r="G8" s="89">
        <f>Arkusz1!E8</f>
        <v>1908000</v>
      </c>
      <c r="H8" s="89">
        <f>Arkusz1!F8</f>
        <v>300000</v>
      </c>
      <c r="I8" s="89">
        <f>Arkusz1!G8</f>
        <v>300000</v>
      </c>
      <c r="J8" s="89">
        <f>Arkusz1!H8</f>
        <v>300000</v>
      </c>
      <c r="K8" s="89">
        <f>Arkusz1!I8</f>
        <v>300000</v>
      </c>
      <c r="L8" s="89">
        <f>Arkusz1!J8</f>
        <v>300000</v>
      </c>
      <c r="M8" s="89">
        <f>Arkusz1!K8</f>
        <v>300000</v>
      </c>
      <c r="N8" s="89">
        <f>Arkusz1!L8</f>
        <v>300000</v>
      </c>
      <c r="O8" s="89">
        <f>Arkusz1!M8</f>
        <v>300000</v>
      </c>
      <c r="P8" s="89">
        <f>Arkusz1!N8</f>
        <v>300000</v>
      </c>
      <c r="Q8" s="89">
        <f>Arkusz1!O8</f>
        <v>300000</v>
      </c>
    </row>
    <row r="9" spans="1:17" ht="13.5" thickBot="1">
      <c r="A9" s="57">
        <v>4</v>
      </c>
      <c r="B9" s="90" t="s">
        <v>188</v>
      </c>
      <c r="C9" s="92">
        <v>134057</v>
      </c>
      <c r="D9" s="92"/>
      <c r="E9" s="89">
        <f>Arkusz1!C9</f>
        <v>190000</v>
      </c>
      <c r="F9" s="89">
        <f>Arkusz1!D9</f>
        <v>400000</v>
      </c>
      <c r="G9" s="89">
        <f>Arkusz1!E9</f>
        <v>422000</v>
      </c>
      <c r="H9" s="89">
        <f>Arkusz1!F9</f>
        <v>300000</v>
      </c>
      <c r="I9" s="89">
        <f>Arkusz1!G9</f>
        <v>300000</v>
      </c>
      <c r="J9" s="89">
        <f>Arkusz1!H9</f>
        <v>300000</v>
      </c>
      <c r="K9" s="89">
        <f>Arkusz1!I9</f>
        <v>300000</v>
      </c>
      <c r="L9" s="89">
        <f>Arkusz1!J9</f>
        <v>300000</v>
      </c>
      <c r="M9" s="89">
        <f>Arkusz1!K9</f>
        <v>300000</v>
      </c>
      <c r="N9" s="89">
        <f>Arkusz1!L9</f>
        <v>300000</v>
      </c>
      <c r="O9" s="89">
        <f>Arkusz1!M9</f>
        <v>300000</v>
      </c>
      <c r="P9" s="89">
        <f>Arkusz1!N9</f>
        <v>300000</v>
      </c>
      <c r="Q9" s="89">
        <f>Arkusz1!O9</f>
        <v>300000</v>
      </c>
    </row>
    <row r="10" spans="1:17" ht="13.5" thickBot="1">
      <c r="A10" s="54">
        <v>5</v>
      </c>
      <c r="B10" s="86" t="s">
        <v>139</v>
      </c>
      <c r="C10" s="87">
        <f t="shared" ref="C10:D10" si="2">SUM(C11:C12)</f>
        <v>15697643</v>
      </c>
      <c r="D10" s="87">
        <f t="shared" si="2"/>
        <v>18764729</v>
      </c>
      <c r="E10" s="87">
        <f>SUM(E11:E12)</f>
        <v>24507345</v>
      </c>
      <c r="F10" s="87">
        <f t="shared" ref="F10:Q10" si="3">SUM(F11:F12)</f>
        <v>16440228</v>
      </c>
      <c r="G10" s="87">
        <f t="shared" si="3"/>
        <v>15562734</v>
      </c>
      <c r="H10" s="87">
        <f t="shared" si="3"/>
        <v>15710000</v>
      </c>
      <c r="I10" s="87">
        <f t="shared" si="3"/>
        <v>16065000</v>
      </c>
      <c r="J10" s="87">
        <f t="shared" si="3"/>
        <v>16243950</v>
      </c>
      <c r="K10" s="87">
        <f t="shared" si="3"/>
        <v>16537268.5</v>
      </c>
      <c r="L10" s="87">
        <f t="shared" si="3"/>
        <v>17045386.555</v>
      </c>
      <c r="M10" s="87">
        <f t="shared" si="3"/>
        <v>17068748.15165</v>
      </c>
      <c r="N10" s="87">
        <f t="shared" si="3"/>
        <v>17507810.596199501</v>
      </c>
      <c r="O10" s="87">
        <f t="shared" si="3"/>
        <v>18263044.914085485</v>
      </c>
      <c r="P10" s="87">
        <f t="shared" si="3"/>
        <v>18804936.261508051</v>
      </c>
      <c r="Q10" s="87">
        <f t="shared" si="3"/>
        <v>19413984.349353295</v>
      </c>
    </row>
    <row r="11" spans="1:17">
      <c r="A11" s="58">
        <v>6</v>
      </c>
      <c r="B11" s="88" t="s">
        <v>140</v>
      </c>
      <c r="C11" s="89">
        <v>13260877</v>
      </c>
      <c r="D11" s="89">
        <v>14183689</v>
      </c>
      <c r="E11" s="89">
        <f>Arkusz1!C54</f>
        <v>13222490</v>
      </c>
      <c r="F11" s="89">
        <f>Arkusz1!D54</f>
        <v>13368205</v>
      </c>
      <c r="G11" s="89">
        <f>Arkusz1!E54</f>
        <v>13736491.93</v>
      </c>
      <c r="H11" s="89">
        <f>Arkusz1!F54</f>
        <v>14089264.687899999</v>
      </c>
      <c r="I11" s="89">
        <f>Arkusz1!G54</f>
        <v>14495397.628536999</v>
      </c>
      <c r="J11" s="89">
        <f>Arkusz1!H54</f>
        <v>14908349.557393109</v>
      </c>
      <c r="K11" s="89">
        <f>Arkusz1!I54</f>
        <v>15318990.044114903</v>
      </c>
      <c r="L11" s="89">
        <f>Arkusz1!J54</f>
        <v>15732699.74543835</v>
      </c>
      <c r="M11" s="89">
        <f>Arkusz1!K54</f>
        <v>16159870.737801502</v>
      </c>
      <c r="N11" s="89">
        <f>Arkusz1!L54</f>
        <v>16575906.859935546</v>
      </c>
      <c r="O11" s="89">
        <f>Arkusz1!M54</f>
        <v>17001224.065733612</v>
      </c>
      <c r="P11" s="89">
        <f>Arkusz1!N54</f>
        <v>17451250.787705619</v>
      </c>
      <c r="Q11" s="89">
        <f>Arkusz1!O54</f>
        <v>17914928.311336789</v>
      </c>
    </row>
    <row r="12" spans="1:17" ht="13.5" thickBot="1">
      <c r="A12" s="57">
        <v>7</v>
      </c>
      <c r="B12" s="90" t="s">
        <v>141</v>
      </c>
      <c r="C12" s="92">
        <v>2436766</v>
      </c>
      <c r="D12" s="92">
        <v>4581040</v>
      </c>
      <c r="E12" s="92">
        <f>Arkusz1!C40</f>
        <v>11284855</v>
      </c>
      <c r="F12" s="92">
        <f>Arkusz1!D40</f>
        <v>3072023</v>
      </c>
      <c r="G12" s="92">
        <f>Arkusz1!E40</f>
        <v>1826242.0700000003</v>
      </c>
      <c r="H12" s="92">
        <f>Arkusz1!F40</f>
        <v>1620735.3121000007</v>
      </c>
      <c r="I12" s="92">
        <f>Arkusz1!G40</f>
        <v>1569602.3714630008</v>
      </c>
      <c r="J12" s="92">
        <f>Arkusz1!H40</f>
        <v>1335600.4426068906</v>
      </c>
      <c r="K12" s="92">
        <f>Arkusz1!I40</f>
        <v>1218278.4558850974</v>
      </c>
      <c r="L12" s="92">
        <f>Arkusz1!J40</f>
        <v>1312686.8095616493</v>
      </c>
      <c r="M12" s="92">
        <f>Arkusz1!K40</f>
        <v>908877.41384849884</v>
      </c>
      <c r="N12" s="92">
        <f>Arkusz1!L40</f>
        <v>931903.73626395501</v>
      </c>
      <c r="O12" s="92">
        <f>Arkusz1!M40</f>
        <v>1261820.8483518735</v>
      </c>
      <c r="P12" s="92">
        <f>Arkusz1!N40</f>
        <v>1353685.4738024324</v>
      </c>
      <c r="Q12" s="92">
        <f>Arkusz1!O40</f>
        <v>1499056.0380165055</v>
      </c>
    </row>
    <row r="13" spans="1:17" ht="13.5" thickBot="1">
      <c r="A13" s="59">
        <v>8</v>
      </c>
      <c r="B13" s="93" t="s">
        <v>142</v>
      </c>
      <c r="C13" s="97">
        <f t="shared" ref="C13:D13" si="4">SUM(C14:C16)</f>
        <v>13260877</v>
      </c>
      <c r="D13" s="97">
        <f t="shared" si="4"/>
        <v>13328461</v>
      </c>
      <c r="E13" s="97">
        <f>SUM(E14:E16)</f>
        <v>13222490</v>
      </c>
      <c r="F13" s="97">
        <f t="shared" ref="F13:Q13" si="5">SUM(F14:F16)</f>
        <v>13368205</v>
      </c>
      <c r="G13" s="97">
        <f t="shared" si="5"/>
        <v>13736491.93</v>
      </c>
      <c r="H13" s="97">
        <f t="shared" si="5"/>
        <v>14089264.687899999</v>
      </c>
      <c r="I13" s="97">
        <f t="shared" si="5"/>
        <v>14495397.628536999</v>
      </c>
      <c r="J13" s="97">
        <f t="shared" si="5"/>
        <v>14908349.557393109</v>
      </c>
      <c r="K13" s="97">
        <f t="shared" si="5"/>
        <v>15318990.044114903</v>
      </c>
      <c r="L13" s="97">
        <f t="shared" si="5"/>
        <v>15732699.74543835</v>
      </c>
      <c r="M13" s="97">
        <f t="shared" si="5"/>
        <v>16159870.737801502</v>
      </c>
      <c r="N13" s="97">
        <f t="shared" si="5"/>
        <v>16575906.859935546</v>
      </c>
      <c r="O13" s="97">
        <f t="shared" si="5"/>
        <v>17001224.065733612</v>
      </c>
      <c r="P13" s="97">
        <f t="shared" si="5"/>
        <v>17451250.787705619</v>
      </c>
      <c r="Q13" s="97">
        <f t="shared" si="5"/>
        <v>17914928.311336789</v>
      </c>
    </row>
    <row r="14" spans="1:17">
      <c r="A14" s="56">
        <v>9</v>
      </c>
      <c r="B14" s="94" t="s">
        <v>143</v>
      </c>
      <c r="C14" s="91">
        <f>C11</f>
        <v>13260877</v>
      </c>
      <c r="D14" s="128">
        <f>D7</f>
        <v>13328461</v>
      </c>
      <c r="E14" s="91">
        <f>E11</f>
        <v>13222490</v>
      </c>
      <c r="F14" s="91">
        <f t="shared" ref="F14:Q14" si="6">F11</f>
        <v>13368205</v>
      </c>
      <c r="G14" s="91">
        <f t="shared" si="6"/>
        <v>13736491.93</v>
      </c>
      <c r="H14" s="91">
        <f t="shared" si="6"/>
        <v>14089264.687899999</v>
      </c>
      <c r="I14" s="91">
        <f t="shared" si="6"/>
        <v>14495397.628536999</v>
      </c>
      <c r="J14" s="91">
        <f t="shared" si="6"/>
        <v>14908349.557393109</v>
      </c>
      <c r="K14" s="91">
        <f t="shared" si="6"/>
        <v>15318990.044114903</v>
      </c>
      <c r="L14" s="91">
        <f t="shared" si="6"/>
        <v>15732699.74543835</v>
      </c>
      <c r="M14" s="91">
        <f t="shared" si="6"/>
        <v>16159870.737801502</v>
      </c>
      <c r="N14" s="91">
        <f t="shared" si="6"/>
        <v>16575906.859935546</v>
      </c>
      <c r="O14" s="91">
        <f t="shared" si="6"/>
        <v>17001224.065733612</v>
      </c>
      <c r="P14" s="91">
        <f t="shared" si="6"/>
        <v>17451250.787705619</v>
      </c>
      <c r="Q14" s="91">
        <f t="shared" si="6"/>
        <v>17914928.311336789</v>
      </c>
    </row>
    <row r="15" spans="1:17">
      <c r="A15" s="60">
        <v>10</v>
      </c>
      <c r="B15" s="95" t="s">
        <v>144</v>
      </c>
      <c r="C15" s="96">
        <v>0</v>
      </c>
      <c r="D15" s="112"/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</row>
    <row r="16" spans="1:17" ht="13.5" thickBot="1">
      <c r="A16" s="60">
        <v>11</v>
      </c>
      <c r="B16" s="95" t="s">
        <v>145</v>
      </c>
      <c r="C16" s="96">
        <v>0</v>
      </c>
      <c r="D16" s="112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</row>
    <row r="17" spans="1:17" ht="13.5" thickBot="1">
      <c r="A17" s="59">
        <v>12</v>
      </c>
      <c r="B17" s="93" t="s">
        <v>146</v>
      </c>
      <c r="C17" s="97">
        <f t="shared" ref="C17:D17" si="7">C6-C10</f>
        <v>-1467631</v>
      </c>
      <c r="D17" s="97">
        <f t="shared" si="7"/>
        <v>-2404071</v>
      </c>
      <c r="E17" s="97">
        <f>E6-E10</f>
        <v>-5470378</v>
      </c>
      <c r="F17" s="97">
        <f t="shared" ref="F17:Q17" si="8">F6-F10</f>
        <v>301772</v>
      </c>
      <c r="G17" s="97">
        <f t="shared" si="8"/>
        <v>1080325</v>
      </c>
      <c r="H17" s="97">
        <f t="shared" si="8"/>
        <v>90000</v>
      </c>
      <c r="I17" s="97">
        <f t="shared" si="8"/>
        <v>200000</v>
      </c>
      <c r="J17" s="97">
        <f t="shared" si="8"/>
        <v>500000</v>
      </c>
      <c r="K17" s="97">
        <f t="shared" si="8"/>
        <v>700000</v>
      </c>
      <c r="L17" s="97">
        <f t="shared" si="8"/>
        <v>700000</v>
      </c>
      <c r="M17" s="97">
        <f t="shared" si="8"/>
        <v>1200000</v>
      </c>
      <c r="N17" s="97">
        <f t="shared" si="8"/>
        <v>1300000</v>
      </c>
      <c r="O17" s="97">
        <f t="shared" si="8"/>
        <v>1100000</v>
      </c>
      <c r="P17" s="97">
        <f t="shared" si="8"/>
        <v>1130000</v>
      </c>
      <c r="Q17" s="97">
        <f t="shared" si="8"/>
        <v>1110000</v>
      </c>
    </row>
    <row r="18" spans="1:17" ht="13.5" thickBot="1">
      <c r="A18" s="59">
        <v>13</v>
      </c>
      <c r="B18" s="93" t="s">
        <v>189</v>
      </c>
      <c r="C18" s="97">
        <f>C19-C32</f>
        <v>1746232</v>
      </c>
      <c r="D18" s="97">
        <f t="shared" ref="D18:Q18" si="9">D19-D32</f>
        <v>5543449</v>
      </c>
      <c r="E18" s="97">
        <f t="shared" si="9"/>
        <v>5470378</v>
      </c>
      <c r="F18" s="97">
        <f t="shared" si="9"/>
        <v>-301772</v>
      </c>
      <c r="G18" s="97">
        <f t="shared" si="9"/>
        <v>-1080325</v>
      </c>
      <c r="H18" s="97">
        <f t="shared" si="9"/>
        <v>-90000</v>
      </c>
      <c r="I18" s="97">
        <f t="shared" si="9"/>
        <v>-200000</v>
      </c>
      <c r="J18" s="97">
        <f t="shared" si="9"/>
        <v>-500000</v>
      </c>
      <c r="K18" s="97">
        <f t="shared" si="9"/>
        <v>-700000</v>
      </c>
      <c r="L18" s="97">
        <f t="shared" si="9"/>
        <v>-700000</v>
      </c>
      <c r="M18" s="97">
        <f t="shared" si="9"/>
        <v>-1200000</v>
      </c>
      <c r="N18" s="97">
        <f t="shared" si="9"/>
        <v>-1300000</v>
      </c>
      <c r="O18" s="97">
        <f t="shared" si="9"/>
        <v>-1100000</v>
      </c>
      <c r="P18" s="97">
        <f t="shared" si="9"/>
        <v>-1130000</v>
      </c>
      <c r="Q18" s="97">
        <f t="shared" si="9"/>
        <v>-1110000</v>
      </c>
    </row>
    <row r="19" spans="1:17" ht="26.25" thickBot="1">
      <c r="A19" s="54">
        <v>14</v>
      </c>
      <c r="B19" s="93" t="s">
        <v>190</v>
      </c>
      <c r="C19" s="97">
        <f>SUM(C20,C22,C24:C25,C27,C29:C30)</f>
        <v>2028578</v>
      </c>
      <c r="D19" s="97">
        <f t="shared" ref="D19:Q19" si="10">SUM(D20,D22,D24:D25,D27,D29:D30)</f>
        <v>5808570</v>
      </c>
      <c r="E19" s="97">
        <f t="shared" si="10"/>
        <v>8369378</v>
      </c>
      <c r="F19" s="97">
        <f t="shared" si="10"/>
        <v>400000</v>
      </c>
      <c r="G19" s="97">
        <f t="shared" si="10"/>
        <v>0</v>
      </c>
      <c r="H19" s="97">
        <f t="shared" si="10"/>
        <v>0</v>
      </c>
      <c r="I19" s="97">
        <f t="shared" si="10"/>
        <v>0</v>
      </c>
      <c r="J19" s="97">
        <f t="shared" si="10"/>
        <v>0</v>
      </c>
      <c r="K19" s="97">
        <f t="shared" si="10"/>
        <v>0</v>
      </c>
      <c r="L19" s="97">
        <f t="shared" si="10"/>
        <v>0</v>
      </c>
      <c r="M19" s="97">
        <f t="shared" si="10"/>
        <v>0</v>
      </c>
      <c r="N19" s="97">
        <f t="shared" si="10"/>
        <v>0</v>
      </c>
      <c r="O19" s="97">
        <f t="shared" si="10"/>
        <v>0</v>
      </c>
      <c r="P19" s="97">
        <f t="shared" si="10"/>
        <v>0</v>
      </c>
      <c r="Q19" s="97">
        <f t="shared" si="10"/>
        <v>0</v>
      </c>
    </row>
    <row r="20" spans="1:17" ht="25.5">
      <c r="A20" s="58">
        <v>15</v>
      </c>
      <c r="B20" s="98" t="s">
        <v>147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</row>
    <row r="21" spans="1:17" ht="38.25">
      <c r="A21" s="58">
        <v>16</v>
      </c>
      <c r="B21" s="61" t="s">
        <v>148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</row>
    <row r="22" spans="1:17" ht="25.5">
      <c r="A22" s="58">
        <v>17</v>
      </c>
      <c r="B22" s="99" t="s">
        <v>149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</row>
    <row r="23" spans="1:17" ht="38.25">
      <c r="A23" s="58">
        <v>18</v>
      </c>
      <c r="B23" s="62" t="s">
        <v>150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</row>
    <row r="24" spans="1:17">
      <c r="A24" s="58">
        <v>19</v>
      </c>
      <c r="B24" s="100" t="s">
        <v>191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</row>
    <row r="25" spans="1:17" ht="25.5">
      <c r="A25" s="58">
        <v>20</v>
      </c>
      <c r="B25" s="100" t="s">
        <v>192</v>
      </c>
      <c r="C25" s="96">
        <v>998978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</row>
    <row r="26" spans="1:17">
      <c r="A26" s="58">
        <v>21</v>
      </c>
      <c r="B26" s="62" t="s">
        <v>151</v>
      </c>
      <c r="C26" s="96">
        <v>744578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</row>
    <row r="27" spans="1:17" ht="38.25">
      <c r="A27" s="58">
        <v>22</v>
      </c>
      <c r="B27" s="98" t="s">
        <v>152</v>
      </c>
      <c r="C27" s="96">
        <v>1000000</v>
      </c>
      <c r="D27" s="96">
        <v>5530000</v>
      </c>
      <c r="E27" s="96">
        <f>Arkusz1!C42</f>
        <v>5230000</v>
      </c>
      <c r="F27" s="96">
        <f>Arkusz1!D42</f>
        <v>400000</v>
      </c>
      <c r="G27" s="96">
        <f>Arkusz1!E42</f>
        <v>0</v>
      </c>
      <c r="H27" s="96">
        <f>Arkusz1!F42</f>
        <v>0</v>
      </c>
      <c r="I27" s="96">
        <f>Arkusz1!G42</f>
        <v>0</v>
      </c>
      <c r="J27" s="96">
        <f>Arkusz1!H42</f>
        <v>0</v>
      </c>
      <c r="K27" s="96">
        <f>Arkusz1!I42</f>
        <v>0</v>
      </c>
      <c r="L27" s="96">
        <f>Arkusz1!J42</f>
        <v>0</v>
      </c>
      <c r="M27" s="96">
        <f>Arkusz1!K42</f>
        <v>0</v>
      </c>
      <c r="N27" s="96">
        <f>Arkusz1!L42</f>
        <v>0</v>
      </c>
      <c r="O27" s="96">
        <f>Arkusz1!M42</f>
        <v>0</v>
      </c>
      <c r="P27" s="96">
        <f>Arkusz1!N42</f>
        <v>0</v>
      </c>
      <c r="Q27" s="96">
        <f>Arkusz1!O42</f>
        <v>0</v>
      </c>
    </row>
    <row r="28" spans="1:17" ht="38.25">
      <c r="A28" s="58">
        <v>23</v>
      </c>
      <c r="B28" s="61" t="s">
        <v>153</v>
      </c>
      <c r="C28" s="96">
        <v>0</v>
      </c>
      <c r="D28" s="96">
        <v>2104616</v>
      </c>
      <c r="E28" s="96">
        <v>1705889</v>
      </c>
      <c r="F28" s="96">
        <v>390250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>
      <c r="A29" s="58">
        <v>24</v>
      </c>
      <c r="B29" s="98" t="s">
        <v>154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</row>
    <row r="30" spans="1:17" ht="25.5">
      <c r="A30" s="58">
        <v>25</v>
      </c>
      <c r="B30" s="98" t="s">
        <v>155</v>
      </c>
      <c r="C30" s="96">
        <v>29600</v>
      </c>
      <c r="D30" s="96">
        <v>278570</v>
      </c>
      <c r="E30" s="96">
        <f>Arkusz1!C17</f>
        <v>3139378</v>
      </c>
      <c r="F30" s="96">
        <f>Arkusz1!D17</f>
        <v>0</v>
      </c>
      <c r="G30" s="96">
        <f>Arkusz1!E17</f>
        <v>0</v>
      </c>
      <c r="H30" s="96">
        <f>Arkusz1!F17</f>
        <v>0</v>
      </c>
      <c r="I30" s="96">
        <f>Arkusz1!G17</f>
        <v>0</v>
      </c>
      <c r="J30" s="96">
        <f>Arkusz1!H17</f>
        <v>0</v>
      </c>
      <c r="K30" s="96">
        <f>Arkusz1!I17</f>
        <v>0</v>
      </c>
      <c r="L30" s="96">
        <f>Arkusz1!J17</f>
        <v>0</v>
      </c>
      <c r="M30" s="96">
        <f>Arkusz1!K17</f>
        <v>0</v>
      </c>
      <c r="N30" s="96">
        <f>Arkusz1!L17</f>
        <v>0</v>
      </c>
      <c r="O30" s="96">
        <f>Arkusz1!M17</f>
        <v>0</v>
      </c>
      <c r="P30" s="96">
        <f>Arkusz1!N17</f>
        <v>0</v>
      </c>
      <c r="Q30" s="96">
        <f>Arkusz1!O17</f>
        <v>0</v>
      </c>
    </row>
    <row r="31" spans="1:17" ht="13.5" thickBot="1">
      <c r="A31" s="63">
        <v>26</v>
      </c>
      <c r="B31" s="64" t="s">
        <v>156</v>
      </c>
      <c r="C31" s="101">
        <v>0</v>
      </c>
      <c r="D31" s="101">
        <v>278570</v>
      </c>
      <c r="E31" s="96">
        <f>Arkusz1!C18</f>
        <v>3139378</v>
      </c>
      <c r="F31" s="96">
        <f>Arkusz1!D18</f>
        <v>0</v>
      </c>
      <c r="G31" s="96">
        <f>Arkusz1!E18</f>
        <v>0</v>
      </c>
      <c r="H31" s="96">
        <f>Arkusz1!F18</f>
        <v>0</v>
      </c>
      <c r="I31" s="96">
        <f>Arkusz1!G18</f>
        <v>0</v>
      </c>
      <c r="J31" s="96">
        <f>Arkusz1!H18</f>
        <v>0</v>
      </c>
      <c r="K31" s="96">
        <f>Arkusz1!I18</f>
        <v>0</v>
      </c>
      <c r="L31" s="96">
        <f>Arkusz1!J18</f>
        <v>0</v>
      </c>
      <c r="M31" s="96">
        <f>Arkusz1!K18</f>
        <v>0</v>
      </c>
      <c r="N31" s="96">
        <f>Arkusz1!L18</f>
        <v>0</v>
      </c>
      <c r="O31" s="96">
        <f>Arkusz1!M18</f>
        <v>0</v>
      </c>
      <c r="P31" s="96">
        <f>Arkusz1!N18</f>
        <v>0</v>
      </c>
      <c r="Q31" s="96">
        <f>Arkusz1!O18</f>
        <v>0</v>
      </c>
    </row>
    <row r="32" spans="1:17" ht="26.25" thickBot="1">
      <c r="A32" s="54">
        <v>27</v>
      </c>
      <c r="B32" s="93" t="s">
        <v>193</v>
      </c>
      <c r="C32" s="97">
        <f>SUM(C33,C35,C37:C39,C41:C42)</f>
        <v>282346</v>
      </c>
      <c r="D32" s="97">
        <f>SUM(D33,D35,D37:D39,D41)</f>
        <v>265121</v>
      </c>
      <c r="E32" s="97">
        <f t="shared" ref="E32:Q32" si="11">SUM(E33,E35,E37:E39,E41:E42)</f>
        <v>2899000</v>
      </c>
      <c r="F32" s="97">
        <f t="shared" si="11"/>
        <v>701772</v>
      </c>
      <c r="G32" s="97">
        <f t="shared" si="11"/>
        <v>1080325</v>
      </c>
      <c r="H32" s="97">
        <f t="shared" si="11"/>
        <v>90000</v>
      </c>
      <c r="I32" s="97">
        <f t="shared" si="11"/>
        <v>200000</v>
      </c>
      <c r="J32" s="97">
        <f t="shared" si="11"/>
        <v>500000</v>
      </c>
      <c r="K32" s="97">
        <f t="shared" si="11"/>
        <v>700000</v>
      </c>
      <c r="L32" s="97">
        <f t="shared" si="11"/>
        <v>700000</v>
      </c>
      <c r="M32" s="97">
        <f t="shared" si="11"/>
        <v>1200000</v>
      </c>
      <c r="N32" s="97">
        <f t="shared" si="11"/>
        <v>1300000</v>
      </c>
      <c r="O32" s="97">
        <f t="shared" si="11"/>
        <v>1100000</v>
      </c>
      <c r="P32" s="97">
        <f t="shared" si="11"/>
        <v>1130000</v>
      </c>
      <c r="Q32" s="97">
        <f t="shared" si="11"/>
        <v>1110000</v>
      </c>
    </row>
    <row r="33" spans="1:17" ht="25.5">
      <c r="A33" s="55">
        <v>28</v>
      </c>
      <c r="B33" s="98" t="s">
        <v>157</v>
      </c>
      <c r="C33" s="96">
        <v>198346</v>
      </c>
      <c r="D33" s="96">
        <v>181121</v>
      </c>
      <c r="E33" s="96">
        <f>Arkusz1!C24</f>
        <v>185000</v>
      </c>
      <c r="F33" s="96">
        <f>Arkusz1!D24</f>
        <v>167000</v>
      </c>
      <c r="G33" s="96">
        <f>Arkusz1!E24</f>
        <v>80325</v>
      </c>
      <c r="H33" s="96">
        <f>Arkusz1!F24</f>
        <v>0</v>
      </c>
      <c r="I33" s="96">
        <f>Arkusz1!G24</f>
        <v>0</v>
      </c>
      <c r="J33" s="96">
        <f>Arkusz1!H24</f>
        <v>0</v>
      </c>
      <c r="K33" s="96">
        <f>Arkusz1!I24</f>
        <v>0</v>
      </c>
      <c r="L33" s="96">
        <f>Arkusz1!J24</f>
        <v>0</v>
      </c>
      <c r="M33" s="96">
        <f>Arkusz1!K24</f>
        <v>0</v>
      </c>
      <c r="N33" s="96">
        <f>Arkusz1!L24</f>
        <v>0</v>
      </c>
      <c r="O33" s="96">
        <f>Arkusz1!M24</f>
        <v>0</v>
      </c>
      <c r="P33" s="96">
        <f>Arkusz1!N24</f>
        <v>0</v>
      </c>
      <c r="Q33" s="96">
        <f>Arkusz1!O24</f>
        <v>0</v>
      </c>
    </row>
    <row r="34" spans="1:17" ht="38.25">
      <c r="A34" s="57">
        <v>29</v>
      </c>
      <c r="B34" s="61" t="s">
        <v>158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</row>
    <row r="35" spans="1:17" ht="25.5">
      <c r="A35" s="58">
        <v>30</v>
      </c>
      <c r="B35" s="102" t="s">
        <v>159</v>
      </c>
      <c r="C35" s="96">
        <v>84000</v>
      </c>
      <c r="D35" s="96">
        <v>84000</v>
      </c>
      <c r="E35" s="96">
        <f>Arkusz1!C23</f>
        <v>84000</v>
      </c>
      <c r="F35" s="96">
        <f>Arkusz1!D23</f>
        <v>34772</v>
      </c>
      <c r="G35" s="96">
        <f>Arkusz1!E23</f>
        <v>0</v>
      </c>
      <c r="H35" s="96">
        <f>Arkusz1!F23</f>
        <v>0</v>
      </c>
      <c r="I35" s="96">
        <f>Arkusz1!G23</f>
        <v>0</v>
      </c>
      <c r="J35" s="96">
        <f>Arkusz1!H23</f>
        <v>0</v>
      </c>
      <c r="K35" s="96">
        <f>Arkusz1!I23</f>
        <v>0</v>
      </c>
      <c r="L35" s="96">
        <f>Arkusz1!J23</f>
        <v>0</v>
      </c>
      <c r="M35" s="96">
        <f>Arkusz1!K23</f>
        <v>0</v>
      </c>
      <c r="N35" s="96">
        <f>Arkusz1!L23</f>
        <v>0</v>
      </c>
      <c r="O35" s="96">
        <f>Arkusz1!M23</f>
        <v>0</v>
      </c>
      <c r="P35" s="96">
        <f>Arkusz1!N23</f>
        <v>0</v>
      </c>
      <c r="Q35" s="96">
        <f>Arkusz1!O23</f>
        <v>0</v>
      </c>
    </row>
    <row r="36" spans="1:17" ht="38.25">
      <c r="A36" s="58">
        <v>31</v>
      </c>
      <c r="B36" s="62" t="s">
        <v>160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</row>
    <row r="37" spans="1:17">
      <c r="A37" s="58">
        <v>32</v>
      </c>
      <c r="B37" s="100" t="s">
        <v>194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</row>
    <row r="38" spans="1:17">
      <c r="A38" s="57">
        <v>33</v>
      </c>
      <c r="B38" s="100" t="s">
        <v>195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</row>
    <row r="39" spans="1:17" ht="25.5">
      <c r="A39" s="58">
        <v>34</v>
      </c>
      <c r="B39" s="98" t="s">
        <v>161</v>
      </c>
      <c r="C39" s="96">
        <v>0</v>
      </c>
      <c r="D39" s="96">
        <v>0</v>
      </c>
      <c r="E39" s="96">
        <f>SUM(Arkusz1!C25:C29)</f>
        <v>2630000</v>
      </c>
      <c r="F39" s="96">
        <f>SUM(Arkusz1!D25:D29)</f>
        <v>500000</v>
      </c>
      <c r="G39" s="96">
        <f>SUM(Arkusz1!E25:E29)</f>
        <v>1000000</v>
      </c>
      <c r="H39" s="96">
        <f>SUM(Arkusz1!F25:F29)</f>
        <v>90000</v>
      </c>
      <c r="I39" s="96">
        <f>SUM(Arkusz1!G25:G29)</f>
        <v>200000</v>
      </c>
      <c r="J39" s="96">
        <f>SUM(Arkusz1!H25:H29)</f>
        <v>500000</v>
      </c>
      <c r="K39" s="96">
        <f>SUM(Arkusz1!I25:I29)</f>
        <v>700000</v>
      </c>
      <c r="L39" s="96">
        <f>SUM(Arkusz1!J25:J29)</f>
        <v>700000</v>
      </c>
      <c r="M39" s="96">
        <f>SUM(Arkusz1!K25:K29)</f>
        <v>1200000</v>
      </c>
      <c r="N39" s="96">
        <f>SUM(Arkusz1!L25:L29)</f>
        <v>1300000</v>
      </c>
      <c r="O39" s="96">
        <f>SUM(Arkusz1!M25:M29)</f>
        <v>1100000</v>
      </c>
      <c r="P39" s="96">
        <f>SUM(Arkusz1!N25:N29)</f>
        <v>1130000</v>
      </c>
      <c r="Q39" s="96">
        <f>SUM(Arkusz1!O25:O29)</f>
        <v>1110000</v>
      </c>
    </row>
    <row r="40" spans="1:17" ht="38.25">
      <c r="A40" s="57">
        <v>35</v>
      </c>
      <c r="B40" s="61" t="s">
        <v>162</v>
      </c>
      <c r="C40" s="96">
        <v>0</v>
      </c>
      <c r="D40" s="96">
        <v>0</v>
      </c>
      <c r="E40" s="96">
        <v>2142226</v>
      </c>
      <c r="F40" s="96">
        <f>Arkusz1!D47</f>
        <v>33250</v>
      </c>
      <c r="G40" s="96">
        <f>Arkusz1!E47</f>
        <v>0</v>
      </c>
      <c r="H40" s="96">
        <f>Arkusz1!F47</f>
        <v>0</v>
      </c>
      <c r="I40" s="96">
        <f>Arkusz1!G47</f>
        <v>0</v>
      </c>
      <c r="J40" s="96">
        <f>Arkusz1!H47</f>
        <v>0</v>
      </c>
      <c r="K40" s="96">
        <f>Arkusz1!I47</f>
        <v>0</v>
      </c>
      <c r="L40" s="96">
        <f>Arkusz1!J47</f>
        <v>0</v>
      </c>
      <c r="M40" s="96">
        <f>Arkusz1!K47</f>
        <v>0</v>
      </c>
      <c r="N40" s="96">
        <f>Arkusz1!L47</f>
        <v>0</v>
      </c>
      <c r="O40" s="96">
        <f>Arkusz1!M47</f>
        <v>0</v>
      </c>
      <c r="P40" s="96">
        <f>Arkusz1!N47</f>
        <v>0</v>
      </c>
      <c r="Q40" s="96">
        <f>Arkusz1!O47</f>
        <v>0</v>
      </c>
    </row>
    <row r="41" spans="1:17">
      <c r="A41" s="58">
        <v>36</v>
      </c>
      <c r="B41" s="98" t="s">
        <v>163</v>
      </c>
      <c r="C41" s="96">
        <v>0</v>
      </c>
      <c r="D41" s="96"/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</row>
    <row r="42" spans="1:17" ht="13.5" thickBot="1">
      <c r="A42" s="63">
        <v>37</v>
      </c>
      <c r="B42" s="103" t="s">
        <v>213</v>
      </c>
      <c r="C42" s="104">
        <v>0</v>
      </c>
      <c r="D42" s="104">
        <v>14417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</row>
    <row r="43" spans="1:17" ht="26.25" thickBot="1">
      <c r="A43" s="54">
        <v>38</v>
      </c>
      <c r="B43" s="93" t="s">
        <v>196</v>
      </c>
      <c r="C43" s="87">
        <f t="shared" ref="C43:D43" si="12">SUM(C44:C49,C52)</f>
        <v>1830635</v>
      </c>
      <c r="D43" s="87">
        <f t="shared" si="12"/>
        <v>7130347</v>
      </c>
      <c r="E43" s="87">
        <f>SUM(E44:E49,E52)</f>
        <v>9451497</v>
      </c>
      <c r="F43" s="87">
        <f t="shared" ref="F43:Q43" si="13">SUM(F44:F49,F52)</f>
        <v>9139875</v>
      </c>
      <c r="G43" s="87">
        <f>SUM(G44:G49,G52)-G55</f>
        <v>8049700</v>
      </c>
      <c r="H43" s="87">
        <f t="shared" si="13"/>
        <v>7949850</v>
      </c>
      <c r="I43" s="87">
        <f t="shared" si="13"/>
        <v>7740000</v>
      </c>
      <c r="J43" s="87">
        <f t="shared" si="13"/>
        <v>7240000</v>
      </c>
      <c r="K43" s="87">
        <f t="shared" si="13"/>
        <v>6540000</v>
      </c>
      <c r="L43" s="87">
        <f t="shared" si="13"/>
        <v>5840000</v>
      </c>
      <c r="M43" s="87">
        <f t="shared" si="13"/>
        <v>4640000</v>
      </c>
      <c r="N43" s="87">
        <f t="shared" si="13"/>
        <v>3340000</v>
      </c>
      <c r="O43" s="87">
        <f t="shared" si="13"/>
        <v>2240000</v>
      </c>
      <c r="P43" s="87">
        <f t="shared" si="13"/>
        <v>1110000</v>
      </c>
      <c r="Q43" s="87">
        <f t="shared" si="13"/>
        <v>0</v>
      </c>
    </row>
    <row r="44" spans="1:17">
      <c r="A44" s="65">
        <v>39</v>
      </c>
      <c r="B44" s="105" t="s">
        <v>164</v>
      </c>
      <c r="C44" s="106">
        <v>1000000</v>
      </c>
      <c r="D44" s="106">
        <f>C44+D27-D52</f>
        <v>4387774</v>
      </c>
      <c r="E44" s="106">
        <f>SUM(Arkusz1!D25:O28)-E55</f>
        <v>6950342</v>
      </c>
      <c r="F44" s="106">
        <f>SUM(Arkusz1!E25:$O$29)-F55</f>
        <v>8639750</v>
      </c>
      <c r="G44" s="106">
        <f>SUM(Arkusz1!F25:$O$29)</f>
        <v>8030000</v>
      </c>
      <c r="H44" s="106">
        <f>SUM(Arkusz1!G25:$O$29)</f>
        <v>7940000</v>
      </c>
      <c r="I44" s="106">
        <f>SUM(Arkusz1!H25:$O$29)</f>
        <v>7740000</v>
      </c>
      <c r="J44" s="106">
        <f>SUM(Arkusz1!I25:$O$29)</f>
        <v>7240000</v>
      </c>
      <c r="K44" s="106">
        <f>SUM(Arkusz1!J25:$O$29)</f>
        <v>6540000</v>
      </c>
      <c r="L44" s="106">
        <f>SUM(Arkusz1!K25:$O$29)</f>
        <v>5840000</v>
      </c>
      <c r="M44" s="106">
        <f>SUM(Arkusz1!L25:$O$29)</f>
        <v>4640000</v>
      </c>
      <c r="N44" s="106">
        <f>SUM(Arkusz1!M25:$O$29)</f>
        <v>3340000</v>
      </c>
      <c r="O44" s="106">
        <f>SUM(Arkusz1!N25:$O$29)</f>
        <v>2240000</v>
      </c>
      <c r="P44" s="106">
        <f>SUM(Arkusz1!O25:$O$29)</f>
        <v>1110000</v>
      </c>
      <c r="Q44" s="106">
        <v>0</v>
      </c>
    </row>
    <row r="45" spans="1:17">
      <c r="A45" s="58">
        <v>40</v>
      </c>
      <c r="B45" s="107" t="s">
        <v>165</v>
      </c>
      <c r="C45" s="96">
        <v>627863</v>
      </c>
      <c r="D45" s="96">
        <f>C45-D33-D42</f>
        <v>432325</v>
      </c>
      <c r="E45" s="96">
        <f>SUM(Arkusz1!D24:$O$24)</f>
        <v>247325</v>
      </c>
      <c r="F45" s="96">
        <f>SUM(Arkusz1!E24:$O$24)</f>
        <v>80325</v>
      </c>
      <c r="G45" s="96">
        <f>SUM(Arkusz1!F24:$O$24)</f>
        <v>0</v>
      </c>
      <c r="H45" s="96">
        <f>SUM(Arkusz1!G24:$O$24)</f>
        <v>0</v>
      </c>
      <c r="I45" s="96">
        <f>SUM(Arkusz1!H24:$O$24)</f>
        <v>0</v>
      </c>
      <c r="J45" s="96">
        <f>SUM(Arkusz1!I24:$O$24)</f>
        <v>0</v>
      </c>
      <c r="K45" s="96">
        <f>SUM(Arkusz1!J24:$O$24)</f>
        <v>0</v>
      </c>
      <c r="L45" s="96">
        <f>SUM(Arkusz1!K24:$O$24)</f>
        <v>0</v>
      </c>
      <c r="M45" s="96">
        <f>SUM(Arkusz1!L24:$O$24)</f>
        <v>0</v>
      </c>
      <c r="N45" s="96">
        <f>SUM(Arkusz1!M24:$O$24)</f>
        <v>0</v>
      </c>
      <c r="O45" s="96">
        <f>SUM(Arkusz1!N24:$O$24)</f>
        <v>0</v>
      </c>
      <c r="P45" s="96">
        <f>SUM(Arkusz1!O24:$O$24)</f>
        <v>0</v>
      </c>
      <c r="Q45" s="96">
        <f>SUM(Arkusz1!$O24:P$24)</f>
        <v>0</v>
      </c>
    </row>
    <row r="46" spans="1:17">
      <c r="A46" s="58">
        <v>41</v>
      </c>
      <c r="B46" s="108" t="s">
        <v>166</v>
      </c>
      <c r="C46" s="96">
        <v>202772</v>
      </c>
      <c r="D46" s="96">
        <f>C46-D35</f>
        <v>118772</v>
      </c>
      <c r="E46" s="96">
        <f>SUM(Arkusz1!D23:$O$23)</f>
        <v>34772</v>
      </c>
      <c r="F46" s="96">
        <f>SUM(Arkusz1!E23:$O$23)</f>
        <v>0</v>
      </c>
      <c r="G46" s="96">
        <f>SUM(Arkusz1!F23:$O$23)</f>
        <v>0</v>
      </c>
      <c r="H46" s="96">
        <f>SUM(Arkusz1!G23:$O$23)</f>
        <v>0</v>
      </c>
      <c r="I46" s="96">
        <f>SUM(Arkusz1!H23:$O$23)</f>
        <v>0</v>
      </c>
      <c r="J46" s="96">
        <f>SUM(Arkusz1!I23:$O$23)</f>
        <v>0</v>
      </c>
      <c r="K46" s="96">
        <f>SUM(Arkusz1!J23:$O$23)</f>
        <v>0</v>
      </c>
      <c r="L46" s="96">
        <f>SUM(Arkusz1!K23:$O$23)</f>
        <v>0</v>
      </c>
      <c r="M46" s="96">
        <f>SUM(Arkusz1!L23:$O$23)</f>
        <v>0</v>
      </c>
      <c r="N46" s="96">
        <f>SUM(Arkusz1!M23:$O$23)</f>
        <v>0</v>
      </c>
      <c r="O46" s="96">
        <f>SUM(Arkusz1!N23:$O$23)</f>
        <v>0</v>
      </c>
      <c r="P46" s="96">
        <f>SUM(Arkusz1!O23:$O$23)</f>
        <v>0</v>
      </c>
      <c r="Q46" s="96">
        <f>SUM(Arkusz1!$O23:P$23)</f>
        <v>0</v>
      </c>
    </row>
    <row r="47" spans="1:17" ht="27">
      <c r="A47" s="58">
        <v>42</v>
      </c>
      <c r="B47" s="109" t="s">
        <v>197</v>
      </c>
      <c r="C47" s="96">
        <v>0</v>
      </c>
      <c r="D47" s="96">
        <v>49250</v>
      </c>
      <c r="E47" s="96">
        <f>D47-9850</f>
        <v>39400</v>
      </c>
      <c r="F47" s="96">
        <f>E47-9850</f>
        <v>29550</v>
      </c>
      <c r="G47" s="96">
        <f t="shared" ref="G47:I47" si="14">F47-9850</f>
        <v>19700</v>
      </c>
      <c r="H47" s="96">
        <f t="shared" si="14"/>
        <v>9850</v>
      </c>
      <c r="I47" s="96">
        <f t="shared" si="14"/>
        <v>0</v>
      </c>
      <c r="J47" s="96"/>
      <c r="K47" s="96"/>
      <c r="L47" s="96"/>
      <c r="M47" s="96"/>
      <c r="N47" s="96"/>
      <c r="O47" s="96"/>
      <c r="P47" s="96"/>
      <c r="Q47" s="96"/>
    </row>
    <row r="48" spans="1:17" ht="14.25">
      <c r="A48" s="58">
        <v>43</v>
      </c>
      <c r="B48" s="108" t="s">
        <v>198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</row>
    <row r="49" spans="1:17">
      <c r="A49" s="58">
        <v>44</v>
      </c>
      <c r="B49" s="109" t="s">
        <v>199</v>
      </c>
      <c r="C49" s="110">
        <v>0</v>
      </c>
      <c r="D49" s="110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</row>
    <row r="50" spans="1:17" ht="25.5">
      <c r="A50" s="58">
        <v>45</v>
      </c>
      <c r="B50" s="66" t="s">
        <v>167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</row>
    <row r="51" spans="1:17" ht="25.5">
      <c r="A51" s="58">
        <v>46</v>
      </c>
      <c r="B51" s="67" t="s">
        <v>168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</row>
    <row r="52" spans="1:17" ht="51">
      <c r="A52" s="168">
        <v>47</v>
      </c>
      <c r="B52" s="111" t="s">
        <v>169</v>
      </c>
      <c r="C52" s="112">
        <v>0</v>
      </c>
      <c r="D52" s="112">
        <f>SUM(D53:D55)</f>
        <v>2142226</v>
      </c>
      <c r="E52" s="112">
        <f>SUM(E53:E55)</f>
        <v>2179658</v>
      </c>
      <c r="F52" s="112">
        <f t="shared" ref="F52:Q52" si="15">SUM(F53:F55)</f>
        <v>390250</v>
      </c>
      <c r="G52" s="112">
        <f t="shared" si="15"/>
        <v>390250</v>
      </c>
      <c r="H52" s="112">
        <f t="shared" si="15"/>
        <v>0</v>
      </c>
      <c r="I52" s="112">
        <f t="shared" si="15"/>
        <v>0</v>
      </c>
      <c r="J52" s="112">
        <f t="shared" si="15"/>
        <v>0</v>
      </c>
      <c r="K52" s="112">
        <f t="shared" si="15"/>
        <v>0</v>
      </c>
      <c r="L52" s="112">
        <f t="shared" si="15"/>
        <v>0</v>
      </c>
      <c r="M52" s="112">
        <f t="shared" si="15"/>
        <v>0</v>
      </c>
      <c r="N52" s="112">
        <f t="shared" si="15"/>
        <v>0</v>
      </c>
      <c r="O52" s="112">
        <f t="shared" si="15"/>
        <v>0</v>
      </c>
      <c r="P52" s="112">
        <f t="shared" si="15"/>
        <v>0</v>
      </c>
      <c r="Q52" s="112">
        <f t="shared" si="15"/>
        <v>0</v>
      </c>
    </row>
    <row r="53" spans="1:17">
      <c r="A53" s="159"/>
      <c r="B53" s="68" t="s">
        <v>170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</row>
    <row r="54" spans="1:17">
      <c r="A54" s="159"/>
      <c r="B54" s="68" t="s">
        <v>171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</row>
    <row r="55" spans="1:17" ht="13.5" thickBot="1">
      <c r="A55" s="159"/>
      <c r="B55" s="68" t="s">
        <v>172</v>
      </c>
      <c r="C55" s="113">
        <v>0</v>
      </c>
      <c r="D55" s="113">
        <v>2142226</v>
      </c>
      <c r="E55" s="113">
        <f>Arkusz1!C46</f>
        <v>2179658</v>
      </c>
      <c r="F55" s="113">
        <f>Arkusz1!D46</f>
        <v>390250</v>
      </c>
      <c r="G55" s="113">
        <f>Arkusz1!E46</f>
        <v>390250</v>
      </c>
      <c r="H55" s="113">
        <f>Arkusz1!F46</f>
        <v>0</v>
      </c>
      <c r="I55" s="113">
        <f>Arkusz1!G46</f>
        <v>0</v>
      </c>
      <c r="J55" s="113">
        <f>Arkusz1!H46</f>
        <v>0</v>
      </c>
      <c r="K55" s="113">
        <f>Arkusz1!I46</f>
        <v>0</v>
      </c>
      <c r="L55" s="113">
        <f>Arkusz1!J46</f>
        <v>0</v>
      </c>
      <c r="M55" s="113">
        <f>Arkusz1!K46</f>
        <v>0</v>
      </c>
      <c r="N55" s="113">
        <f>Arkusz1!L46</f>
        <v>0</v>
      </c>
      <c r="O55" s="113">
        <f>Arkusz1!M46</f>
        <v>0</v>
      </c>
      <c r="P55" s="113">
        <f>Arkusz1!N46</f>
        <v>0</v>
      </c>
      <c r="Q55" s="113">
        <f>Arkusz1!O46</f>
        <v>0</v>
      </c>
    </row>
    <row r="56" spans="1:17" ht="26.25" thickBot="1">
      <c r="A56" s="54">
        <v>48</v>
      </c>
      <c r="B56" s="93" t="s">
        <v>200</v>
      </c>
      <c r="C56" s="140">
        <f>C43/C6</f>
        <v>0.12864606157746036</v>
      </c>
      <c r="D56" s="140">
        <f t="shared" ref="D56:G56" si="16">D43/D6</f>
        <v>0.43582275236118256</v>
      </c>
      <c r="E56" s="140">
        <f t="shared" si="16"/>
        <v>0.49648124094557711</v>
      </c>
      <c r="F56" s="140">
        <f t="shared" si="16"/>
        <v>0.54592491936447263</v>
      </c>
      <c r="G56" s="140">
        <f t="shared" si="16"/>
        <v>0.48366709509351619</v>
      </c>
      <c r="H56" s="114"/>
      <c r="I56" s="115"/>
      <c r="J56" s="114"/>
      <c r="K56" s="115"/>
      <c r="L56" s="114"/>
      <c r="M56" s="115"/>
      <c r="N56" s="114"/>
      <c r="O56" s="115"/>
      <c r="P56" s="114"/>
      <c r="Q56" s="115"/>
    </row>
    <row r="57" spans="1:17" ht="26.25" thickBot="1">
      <c r="A57" s="69">
        <v>49</v>
      </c>
      <c r="B57" s="116" t="s">
        <v>201</v>
      </c>
      <c r="C57" s="141">
        <f>(C43-C52)/C6</f>
        <v>0.12864606157746036</v>
      </c>
      <c r="D57" s="141">
        <f t="shared" ref="D57:G57" si="17">(D43-D52)/D6</f>
        <v>0.30488510914414324</v>
      </c>
      <c r="E57" s="141">
        <f t="shared" si="17"/>
        <v>0.38198516601935589</v>
      </c>
      <c r="F57" s="141">
        <f t="shared" si="17"/>
        <v>0.52261527893919479</v>
      </c>
      <c r="G57" s="141">
        <f t="shared" si="17"/>
        <v>0.46021888163708369</v>
      </c>
      <c r="H57" s="118"/>
      <c r="I57" s="119"/>
      <c r="J57" s="118"/>
      <c r="K57" s="119"/>
      <c r="L57" s="118"/>
      <c r="M57" s="119"/>
      <c r="N57" s="118"/>
      <c r="O57" s="119"/>
      <c r="P57" s="118"/>
      <c r="Q57" s="119"/>
    </row>
    <row r="58" spans="1:17" ht="26.25" thickBot="1">
      <c r="A58" s="54">
        <v>50</v>
      </c>
      <c r="B58" s="93" t="s">
        <v>202</v>
      </c>
      <c r="C58" s="87">
        <f t="shared" ref="C58:D58" si="18">SUM(C59:C64)</f>
        <v>335246</v>
      </c>
      <c r="D58" s="87">
        <f t="shared" si="18"/>
        <v>371879</v>
      </c>
      <c r="E58" s="87">
        <f>SUM(E59:E64)</f>
        <v>3278500</v>
      </c>
      <c r="F58" s="87">
        <f t="shared" ref="F58:Q58" si="19">SUM(F59:F64)</f>
        <v>1167946</v>
      </c>
      <c r="G58" s="87">
        <f t="shared" si="19"/>
        <v>1527725</v>
      </c>
      <c r="H58" s="87">
        <f t="shared" si="19"/>
        <v>491500</v>
      </c>
      <c r="I58" s="87">
        <f t="shared" si="19"/>
        <v>597000</v>
      </c>
      <c r="J58" s="87">
        <f t="shared" si="19"/>
        <v>887000</v>
      </c>
      <c r="K58" s="87">
        <f t="shared" si="19"/>
        <v>1062000</v>
      </c>
      <c r="L58" s="87">
        <f t="shared" si="19"/>
        <v>1027000</v>
      </c>
      <c r="M58" s="87">
        <f t="shared" si="19"/>
        <v>1492000</v>
      </c>
      <c r="N58" s="87">
        <f t="shared" si="19"/>
        <v>1532000</v>
      </c>
      <c r="O58" s="87">
        <f t="shared" si="19"/>
        <v>1267000</v>
      </c>
      <c r="P58" s="87">
        <f t="shared" si="19"/>
        <v>1242000</v>
      </c>
      <c r="Q58" s="87">
        <f t="shared" si="19"/>
        <v>1165500</v>
      </c>
    </row>
    <row r="59" spans="1:17" ht="25.5">
      <c r="A59" s="58">
        <v>51</v>
      </c>
      <c r="B59" s="109" t="s">
        <v>203</v>
      </c>
      <c r="C59" s="112">
        <v>246346</v>
      </c>
      <c r="D59" s="112">
        <f>D33+18902</f>
        <v>200023</v>
      </c>
      <c r="E59" s="112">
        <f>SUM(Arkusz1!C23,Arkusz1!C31)</f>
        <v>85500</v>
      </c>
      <c r="F59" s="112">
        <f>SUM(Arkusz1!D23,Arkusz1!D31)</f>
        <v>34946</v>
      </c>
      <c r="G59" s="112">
        <f>SUM(Arkusz1!E23,Arkusz1!E31)</f>
        <v>0</v>
      </c>
      <c r="H59" s="112">
        <f>SUM(Arkusz1!F23,Arkusz1!F31)</f>
        <v>0</v>
      </c>
      <c r="I59" s="112">
        <f>SUM(Arkusz1!G23,Arkusz1!G31)</f>
        <v>0</v>
      </c>
      <c r="J59" s="112">
        <f>SUM(Arkusz1!H23,Arkusz1!H31)</f>
        <v>0</v>
      </c>
      <c r="K59" s="112">
        <f>SUM(Arkusz1!I23,Arkusz1!I31)</f>
        <v>0</v>
      </c>
      <c r="L59" s="112">
        <f>SUM(Arkusz1!J23,Arkusz1!J31)</f>
        <v>0</v>
      </c>
      <c r="M59" s="112">
        <f>SUM(Arkusz1!K23,Arkusz1!K31)</f>
        <v>0</v>
      </c>
      <c r="N59" s="112">
        <f>SUM(Arkusz1!L23,Arkusz1!L31)</f>
        <v>0</v>
      </c>
      <c r="O59" s="112">
        <f>SUM(Arkusz1!M23,Arkusz1!M31)</f>
        <v>0</v>
      </c>
      <c r="P59" s="112">
        <f>SUM(Arkusz1!N23,Arkusz1!N31)</f>
        <v>0</v>
      </c>
      <c r="Q59" s="112">
        <f>SUM(Arkusz1!O23,Arkusz1!O31)</f>
        <v>0</v>
      </c>
    </row>
    <row r="60" spans="1:17" ht="25.5">
      <c r="A60" s="58">
        <v>52</v>
      </c>
      <c r="B60" s="109" t="s">
        <v>204</v>
      </c>
      <c r="C60" s="112">
        <v>88900</v>
      </c>
      <c r="D60" s="112">
        <f>D35+3344</f>
        <v>87344</v>
      </c>
      <c r="E60" s="112">
        <f>SUM(Arkusz1!C24,Arkusz1!C32)</f>
        <v>200000</v>
      </c>
      <c r="F60" s="112">
        <f>SUM(Arkusz1!D24,Arkusz1!D32)</f>
        <v>180500</v>
      </c>
      <c r="G60" s="112">
        <f>SUM(Arkusz1!E24,Arkusz1!E32)</f>
        <v>82225</v>
      </c>
      <c r="H60" s="112">
        <f>SUM(Arkusz1!F24,Arkusz1!F32)</f>
        <v>0</v>
      </c>
      <c r="I60" s="112">
        <f>SUM(Arkusz1!G24,Arkusz1!G32)</f>
        <v>0</v>
      </c>
      <c r="J60" s="112">
        <f>SUM(Arkusz1!H24,Arkusz1!H32)</f>
        <v>0</v>
      </c>
      <c r="K60" s="112">
        <f>SUM(Arkusz1!I24,Arkusz1!I32)</f>
        <v>0</v>
      </c>
      <c r="L60" s="112">
        <f>SUM(Arkusz1!J24,Arkusz1!J32)</f>
        <v>0</v>
      </c>
      <c r="M60" s="112">
        <f>SUM(Arkusz1!K24,Arkusz1!K32)</f>
        <v>0</v>
      </c>
      <c r="N60" s="112">
        <f>SUM(Arkusz1!L24,Arkusz1!L32)</f>
        <v>0</v>
      </c>
      <c r="O60" s="112">
        <f>SUM(Arkusz1!M24,Arkusz1!M32)</f>
        <v>0</v>
      </c>
      <c r="P60" s="112">
        <f>SUM(Arkusz1!N24,Arkusz1!N32)</f>
        <v>0</v>
      </c>
      <c r="Q60" s="112">
        <f>SUM(Arkusz1!O24,Arkusz1!O32)</f>
        <v>0</v>
      </c>
    </row>
    <row r="61" spans="1:17" ht="25.5">
      <c r="A61" s="58">
        <v>53</v>
      </c>
      <c r="B61" s="109" t="s">
        <v>205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</row>
    <row r="62" spans="1:17" ht="38.25">
      <c r="A62" s="58">
        <v>54</v>
      </c>
      <c r="B62" s="109" t="s">
        <v>206</v>
      </c>
      <c r="C62" s="112">
        <v>0</v>
      </c>
      <c r="D62" s="112">
        <v>84512</v>
      </c>
      <c r="E62" s="112">
        <f>(SUM(Arkusz1!C33:C36,Arkusz1!C25:C29))-E67</f>
        <v>743662.69999999972</v>
      </c>
      <c r="F62" s="112">
        <f>(SUM(Arkusz1!D33:D36,Arkusz1!D25:D29))-F67</f>
        <v>917587.5</v>
      </c>
      <c r="G62" s="112">
        <f>(SUM(Arkusz1!E33:E36,Arkusz1!E25:E29))-G67</f>
        <v>1445500</v>
      </c>
      <c r="H62" s="112">
        <f>(SUM(Arkusz1!F33:F36,Arkusz1!F25:F29))-H67</f>
        <v>491500</v>
      </c>
      <c r="I62" s="112">
        <f>(SUM(Arkusz1!G33:G36,Arkusz1!G25:G29))-I67</f>
        <v>597000</v>
      </c>
      <c r="J62" s="112">
        <f>(SUM(Arkusz1!H33:H36,Arkusz1!H25:H29))-J67</f>
        <v>887000</v>
      </c>
      <c r="K62" s="112">
        <f>(SUM(Arkusz1!I33:I36,Arkusz1!I25:I29))-K67</f>
        <v>1062000</v>
      </c>
      <c r="L62" s="112">
        <f>(SUM(Arkusz1!J33:J36,Arkusz1!J25:J29))-L67</f>
        <v>1027000</v>
      </c>
      <c r="M62" s="112">
        <f>(SUM(Arkusz1!K33:K36,Arkusz1!K25:K29))-M67</f>
        <v>1492000</v>
      </c>
      <c r="N62" s="112">
        <f>(SUM(Arkusz1!L33:L36,Arkusz1!L25:L29))-N67</f>
        <v>1532000</v>
      </c>
      <c r="O62" s="112">
        <f>(SUM(Arkusz1!M33:M36,Arkusz1!M25:M29))-O67</f>
        <v>1267000</v>
      </c>
      <c r="P62" s="112">
        <f>(SUM(Arkusz1!N33:N36,Arkusz1!N25:N29))-P67</f>
        <v>1242000</v>
      </c>
      <c r="Q62" s="112">
        <f>(SUM(Arkusz1!O33:O36,Arkusz1!O25:O29))-Q67</f>
        <v>1165500</v>
      </c>
    </row>
    <row r="63" spans="1:17" ht="38.25">
      <c r="A63" s="58">
        <v>55</v>
      </c>
      <c r="B63" s="109" t="s">
        <v>207</v>
      </c>
      <c r="C63" s="120">
        <v>0</v>
      </c>
      <c r="D63" s="120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</row>
    <row r="64" spans="1:17" ht="51">
      <c r="A64" s="168">
        <v>56</v>
      </c>
      <c r="B64" s="109" t="s">
        <v>173</v>
      </c>
      <c r="C64" s="121">
        <f t="shared" ref="C64:D64" si="20">SUM(C65:C68)</f>
        <v>0</v>
      </c>
      <c r="D64" s="121">
        <f t="shared" si="20"/>
        <v>0</v>
      </c>
      <c r="E64" s="121">
        <f>SUM(E65:E68)</f>
        <v>2249337.3000000003</v>
      </c>
      <c r="F64" s="121">
        <f t="shared" ref="F64:G64" si="21">SUM(F65:F68)</f>
        <v>34912.5</v>
      </c>
      <c r="G64" s="121">
        <f t="shared" si="21"/>
        <v>0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>
      <c r="A65" s="159"/>
      <c r="B65" s="67" t="s">
        <v>174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>
      <c r="A66" s="159"/>
      <c r="B66" s="67" t="s">
        <v>175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>
      <c r="A67" s="159"/>
      <c r="B67" s="66" t="s">
        <v>176</v>
      </c>
      <c r="C67" s="112">
        <v>0</v>
      </c>
      <c r="D67" s="112"/>
      <c r="E67" s="112">
        <f>2142226*1.05</f>
        <v>2249337.3000000003</v>
      </c>
      <c r="F67" s="112">
        <f>Arkusz1!D47*1.05</f>
        <v>34912.5</v>
      </c>
      <c r="G67" s="112">
        <f>Arkusz1!E47*1.05</f>
        <v>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ht="26.25" thickBot="1">
      <c r="A68" s="160"/>
      <c r="B68" s="70" t="s">
        <v>177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</row>
    <row r="69" spans="1:17" ht="51">
      <c r="A69" s="158">
        <v>56</v>
      </c>
      <c r="B69" s="111" t="s">
        <v>178</v>
      </c>
      <c r="C69" s="127"/>
      <c r="D69" s="127"/>
      <c r="E69" s="127"/>
      <c r="F69" s="127"/>
      <c r="G69" s="127"/>
      <c r="H69" s="128">
        <f>SUM(H70:H73)</f>
        <v>0</v>
      </c>
      <c r="I69" s="128">
        <f t="shared" ref="I69:Q69" si="22">SUM(I70:I73)</f>
        <v>0</v>
      </c>
      <c r="J69" s="128">
        <f t="shared" si="22"/>
        <v>0</v>
      </c>
      <c r="K69" s="128">
        <f t="shared" si="22"/>
        <v>0</v>
      </c>
      <c r="L69" s="128">
        <f t="shared" si="22"/>
        <v>0</v>
      </c>
      <c r="M69" s="128">
        <f t="shared" si="22"/>
        <v>0</v>
      </c>
      <c r="N69" s="128">
        <f t="shared" si="22"/>
        <v>0</v>
      </c>
      <c r="O69" s="128">
        <f t="shared" si="22"/>
        <v>0</v>
      </c>
      <c r="P69" s="128">
        <f t="shared" si="22"/>
        <v>0</v>
      </c>
      <c r="Q69" s="128">
        <f t="shared" si="22"/>
        <v>0</v>
      </c>
    </row>
    <row r="70" spans="1:17">
      <c r="A70" s="159"/>
      <c r="B70" s="67" t="s">
        <v>179</v>
      </c>
      <c r="C70" s="129"/>
      <c r="D70" s="129"/>
      <c r="E70" s="129"/>
      <c r="F70" s="129"/>
      <c r="G70" s="129"/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</row>
    <row r="71" spans="1:17">
      <c r="A71" s="159"/>
      <c r="B71" s="67" t="s">
        <v>180</v>
      </c>
      <c r="C71" s="129"/>
      <c r="D71" s="129"/>
      <c r="E71" s="129"/>
      <c r="F71" s="129"/>
      <c r="G71" s="129"/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</row>
    <row r="72" spans="1:17">
      <c r="A72" s="159"/>
      <c r="B72" s="67" t="s">
        <v>181</v>
      </c>
      <c r="C72" s="129"/>
      <c r="D72" s="129"/>
      <c r="E72" s="129"/>
      <c r="F72" s="129"/>
      <c r="G72" s="129"/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</row>
    <row r="73" spans="1:17" ht="26.25" thickBot="1">
      <c r="A73" s="160"/>
      <c r="B73" s="71" t="s">
        <v>177</v>
      </c>
      <c r="C73" s="126"/>
      <c r="D73" s="126"/>
      <c r="E73" s="126"/>
      <c r="F73" s="126"/>
      <c r="G73" s="126"/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</row>
    <row r="74" spans="1:17" ht="13.5" thickBot="1">
      <c r="A74" s="72">
        <v>57</v>
      </c>
      <c r="B74" s="109" t="s">
        <v>182</v>
      </c>
      <c r="C74" s="130"/>
      <c r="D74" s="130"/>
      <c r="E74" s="130"/>
      <c r="F74" s="130"/>
      <c r="G74" s="130"/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</row>
    <row r="75" spans="1:17" ht="26.25" thickBot="1">
      <c r="A75" s="54">
        <v>58</v>
      </c>
      <c r="B75" s="93" t="s">
        <v>208</v>
      </c>
      <c r="C75" s="140">
        <f>C58/C6</f>
        <v>2.3559080624809031E-2</v>
      </c>
      <c r="D75" s="140">
        <f t="shared" ref="D75:G75" si="23">D58/D6</f>
        <v>2.2730076015280071E-2</v>
      </c>
      <c r="E75" s="140">
        <f t="shared" si="23"/>
        <v>0.17221755965643057</v>
      </c>
      <c r="F75" s="140">
        <f t="shared" si="23"/>
        <v>6.976143829888902E-2</v>
      </c>
      <c r="G75" s="140">
        <f t="shared" si="23"/>
        <v>9.1793521851962434E-2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26.25" thickBot="1">
      <c r="A76" s="69">
        <v>59</v>
      </c>
      <c r="B76" s="116" t="s">
        <v>209</v>
      </c>
      <c r="C76" s="141">
        <f>(C58-C64)/C6</f>
        <v>2.3559080624809031E-2</v>
      </c>
      <c r="D76" s="141">
        <f t="shared" ref="D76:G76" si="24">(D58-D64)/D6</f>
        <v>2.2730076015280071E-2</v>
      </c>
      <c r="E76" s="141">
        <f t="shared" si="24"/>
        <v>5.4061274571731918E-2</v>
      </c>
      <c r="F76" s="141">
        <f t="shared" si="24"/>
        <v>6.7676113964878742E-2</v>
      </c>
      <c r="G76" s="141">
        <f t="shared" si="24"/>
        <v>9.1793521851962434E-2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15" thickBot="1">
      <c r="A77" s="73">
        <v>60</v>
      </c>
      <c r="B77" s="133" t="s">
        <v>210</v>
      </c>
      <c r="C77" s="134"/>
      <c r="D77" s="134"/>
      <c r="E77" s="134"/>
      <c r="F77" s="134"/>
      <c r="G77" s="134"/>
      <c r="H77" s="135">
        <f>(((G7+G9-G11)/G6)+((F7+F9-F11)/F6)+((E7+E9-E11)/E6))/3</f>
        <v>5.0965983126129079E-2</v>
      </c>
      <c r="I77" s="135">
        <f t="shared" ref="I77:Q77" si="25">(((H7+H9-H11)/H6)+((G7+G9-G11)/G6)+((F7+F9-F11)/F6))/3</f>
        <v>7.9113147697251016E-2</v>
      </c>
      <c r="J77" s="135">
        <f t="shared" si="25"/>
        <v>0.10080916375573773</v>
      </c>
      <c r="K77" s="135">
        <f t="shared" si="25"/>
        <v>0.10890008273968789</v>
      </c>
      <c r="L77" s="135">
        <f t="shared" si="25"/>
        <v>0.10990418185629296</v>
      </c>
      <c r="M77" s="135">
        <f t="shared" si="25"/>
        <v>0.11144488423081279</v>
      </c>
      <c r="N77" s="135">
        <f t="shared" si="25"/>
        <v>0.11338110306688759</v>
      </c>
      <c r="O77" s="135">
        <f t="shared" si="25"/>
        <v>0.11584186898821121</v>
      </c>
      <c r="P77" s="135">
        <f t="shared" si="25"/>
        <v>0.11869367193861481</v>
      </c>
      <c r="Q77" s="135">
        <f t="shared" si="25"/>
        <v>0.12174475440747186</v>
      </c>
    </row>
    <row r="78" spans="1:17" ht="27.75" thickBot="1">
      <c r="A78" s="73">
        <v>61</v>
      </c>
      <c r="B78" s="133" t="s">
        <v>211</v>
      </c>
      <c r="C78" s="134"/>
      <c r="D78" s="134"/>
      <c r="E78" s="134"/>
      <c r="F78" s="134"/>
      <c r="G78" s="134"/>
      <c r="H78" s="135">
        <f>H58/H6</f>
        <v>3.1107594936708862E-2</v>
      </c>
      <c r="I78" s="135">
        <f t="shared" ref="I78:Q78" si="26">I58/I6</f>
        <v>3.6704580387334769E-2</v>
      </c>
      <c r="J78" s="135">
        <f t="shared" si="26"/>
        <v>5.2974357902406538E-2</v>
      </c>
      <c r="K78" s="135">
        <f t="shared" si="26"/>
        <v>6.1610689651901633E-2</v>
      </c>
      <c r="L78" s="135">
        <f t="shared" si="26"/>
        <v>5.7874197150730937E-2</v>
      </c>
      <c r="M78" s="135">
        <f t="shared" si="26"/>
        <v>8.1669525881840205E-2</v>
      </c>
      <c r="N78" s="135">
        <f t="shared" si="26"/>
        <v>8.1455520416053723E-2</v>
      </c>
      <c r="O78" s="135">
        <f t="shared" si="26"/>
        <v>6.5433923518833106E-2</v>
      </c>
      <c r="P78" s="135">
        <f t="shared" si="26"/>
        <v>6.2302682271332448E-2</v>
      </c>
      <c r="Q78" s="135">
        <f t="shared" si="26"/>
        <v>5.6787219292375096E-2</v>
      </c>
    </row>
    <row r="79" spans="1:17" ht="27.75" thickBot="1">
      <c r="A79" s="69">
        <v>62</v>
      </c>
      <c r="B79" s="116" t="s">
        <v>212</v>
      </c>
      <c r="C79" s="119"/>
      <c r="D79" s="119"/>
      <c r="E79" s="119"/>
      <c r="F79" s="119"/>
      <c r="G79" s="119"/>
      <c r="H79" s="117">
        <f>(H58-H69)/H6</f>
        <v>3.1107594936708862E-2</v>
      </c>
      <c r="I79" s="117">
        <f t="shared" ref="I79:Q79" si="27">(I58-I69)/I6</f>
        <v>3.6704580387334769E-2</v>
      </c>
      <c r="J79" s="117">
        <f t="shared" si="27"/>
        <v>5.2974357902406538E-2</v>
      </c>
      <c r="K79" s="117">
        <f t="shared" si="27"/>
        <v>6.1610689651901633E-2</v>
      </c>
      <c r="L79" s="117">
        <f t="shared" si="27"/>
        <v>5.7874197150730937E-2</v>
      </c>
      <c r="M79" s="117">
        <f t="shared" si="27"/>
        <v>8.1669525881840205E-2</v>
      </c>
      <c r="N79" s="117">
        <f t="shared" si="27"/>
        <v>8.1455520416053723E-2</v>
      </c>
      <c r="O79" s="117">
        <f t="shared" si="27"/>
        <v>6.5433923518833106E-2</v>
      </c>
      <c r="P79" s="117">
        <f t="shared" si="27"/>
        <v>6.2302682271332448E-2</v>
      </c>
      <c r="Q79" s="117">
        <f t="shared" si="27"/>
        <v>5.6787219292375096E-2</v>
      </c>
    </row>
    <row r="80" spans="1:17" ht="26.25" thickBot="1">
      <c r="A80" s="54">
        <v>63</v>
      </c>
      <c r="B80" s="136" t="s">
        <v>183</v>
      </c>
      <c r="C80" s="87">
        <f>SUM(C81:C82)</f>
        <v>0</v>
      </c>
      <c r="D80" s="87">
        <f t="shared" ref="D80:Q80" si="28">SUM(D81:D82)</f>
        <v>0</v>
      </c>
      <c r="E80" s="87">
        <f t="shared" si="28"/>
        <v>57000</v>
      </c>
      <c r="F80" s="87">
        <f t="shared" si="28"/>
        <v>261500</v>
      </c>
      <c r="G80" s="87">
        <f t="shared" si="28"/>
        <v>261500</v>
      </c>
      <c r="H80" s="87">
        <f t="shared" si="28"/>
        <v>351500</v>
      </c>
      <c r="I80" s="87">
        <f t="shared" si="28"/>
        <v>357000</v>
      </c>
      <c r="J80" s="87">
        <f t="shared" si="28"/>
        <v>652000</v>
      </c>
      <c r="K80" s="87">
        <f t="shared" si="28"/>
        <v>232000</v>
      </c>
      <c r="L80" s="87">
        <f t="shared" si="28"/>
        <v>232000</v>
      </c>
      <c r="M80" s="87">
        <f t="shared" si="28"/>
        <v>832000</v>
      </c>
      <c r="N80" s="87">
        <f t="shared" si="28"/>
        <v>902000</v>
      </c>
      <c r="O80" s="87">
        <f t="shared" si="28"/>
        <v>1267000</v>
      </c>
      <c r="P80" s="87">
        <f t="shared" si="28"/>
        <v>1242000</v>
      </c>
      <c r="Q80" s="87">
        <f t="shared" si="28"/>
        <v>1165500</v>
      </c>
    </row>
    <row r="81" spans="1:17">
      <c r="A81" s="55">
        <v>64</v>
      </c>
      <c r="B81" s="137" t="s">
        <v>184</v>
      </c>
      <c r="C81" s="121">
        <v>0</v>
      </c>
      <c r="D81" s="121">
        <v>0</v>
      </c>
      <c r="E81" s="121">
        <f>Arkusz1!C28</f>
        <v>0</v>
      </c>
      <c r="F81" s="121">
        <f>Arkusz1!D28</f>
        <v>0</v>
      </c>
      <c r="G81" s="121">
        <f>Arkusz1!E28</f>
        <v>0</v>
      </c>
      <c r="H81" s="121">
        <f>Arkusz1!F28</f>
        <v>90000</v>
      </c>
      <c r="I81" s="121">
        <f>Arkusz1!G28</f>
        <v>100000</v>
      </c>
      <c r="J81" s="121">
        <f>Arkusz1!H28</f>
        <v>400000</v>
      </c>
      <c r="K81" s="121">
        <f>Arkusz1!I28</f>
        <v>0</v>
      </c>
      <c r="L81" s="121">
        <f>Arkusz1!J28</f>
        <v>0</v>
      </c>
      <c r="M81" s="121">
        <f>Arkusz1!K28</f>
        <v>600000</v>
      </c>
      <c r="N81" s="121">
        <f>Arkusz1!L28</f>
        <v>700000</v>
      </c>
      <c r="O81" s="121">
        <f>Arkusz1!M28</f>
        <v>1100000</v>
      </c>
      <c r="P81" s="121">
        <f>Arkusz1!N28</f>
        <v>1130000</v>
      </c>
      <c r="Q81" s="121">
        <f>Arkusz1!O28</f>
        <v>1110000</v>
      </c>
    </row>
    <row r="82" spans="1:17" ht="13.5" thickBot="1">
      <c r="A82" s="63">
        <v>65</v>
      </c>
      <c r="B82" s="138" t="s">
        <v>185</v>
      </c>
      <c r="C82" s="139">
        <v>0</v>
      </c>
      <c r="D82" s="139">
        <v>0</v>
      </c>
      <c r="E82" s="139">
        <f>Arkusz1!C35</f>
        <v>57000</v>
      </c>
      <c r="F82" s="139">
        <f>Arkusz1!D35</f>
        <v>261500</v>
      </c>
      <c r="G82" s="139">
        <f>Arkusz1!E35</f>
        <v>261500</v>
      </c>
      <c r="H82" s="139">
        <f>Arkusz1!F35</f>
        <v>261500</v>
      </c>
      <c r="I82" s="139">
        <f>Arkusz1!G35</f>
        <v>257000</v>
      </c>
      <c r="J82" s="139">
        <f>Arkusz1!H35</f>
        <v>252000</v>
      </c>
      <c r="K82" s="139">
        <f>Arkusz1!I35</f>
        <v>232000</v>
      </c>
      <c r="L82" s="139">
        <f>Arkusz1!J35</f>
        <v>232000</v>
      </c>
      <c r="M82" s="139">
        <f>Arkusz1!K35</f>
        <v>232000</v>
      </c>
      <c r="N82" s="139">
        <f>Arkusz1!L35</f>
        <v>202000</v>
      </c>
      <c r="O82" s="139">
        <f>Arkusz1!M35</f>
        <v>167000</v>
      </c>
      <c r="P82" s="139">
        <f>Arkusz1!N35</f>
        <v>112000</v>
      </c>
      <c r="Q82" s="139">
        <f>Arkusz1!O35</f>
        <v>55500</v>
      </c>
    </row>
    <row r="83" spans="1:17">
      <c r="A83" s="50"/>
      <c r="B83" s="161" t="s">
        <v>186</v>
      </c>
      <c r="C83" s="75"/>
      <c r="D83" s="75"/>
      <c r="E83" s="75"/>
      <c r="F83" s="75"/>
      <c r="G83" s="75"/>
      <c r="H83" s="75"/>
      <c r="I83" s="75"/>
    </row>
    <row r="84" spans="1:17" ht="96" customHeight="1">
      <c r="A84" s="50"/>
      <c r="B84" s="162"/>
      <c r="C84" s="75"/>
      <c r="D84" s="75"/>
      <c r="E84" s="75"/>
      <c r="F84" s="75"/>
      <c r="G84" s="75"/>
      <c r="H84" s="75"/>
      <c r="I84" s="75"/>
    </row>
  </sheetData>
  <mergeCells count="8">
    <mergeCell ref="A69:A73"/>
    <mergeCell ref="B83:B84"/>
    <mergeCell ref="D1:H1"/>
    <mergeCell ref="B2:D2"/>
    <mergeCell ref="C4:D4"/>
    <mergeCell ref="E4:G4"/>
    <mergeCell ref="A52:A55"/>
    <mergeCell ref="A64:A68"/>
  </mergeCells>
  <pageMargins left="0.70866141732283472" right="0.70866141732283472" top="0.74803149606299213" bottom="0.74803149606299213" header="0.31496062992125984" footer="0.31496062992125984"/>
  <pageSetup paperSize="287" scale="6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E29" sqref="E29"/>
    </sheetView>
  </sheetViews>
  <sheetFormatPr defaultRowHeight="14.25"/>
  <cols>
    <col min="1" max="1" width="16.75" customWidth="1"/>
    <col min="2" max="2" width="11.375" customWidth="1"/>
    <col min="3" max="3" width="11.5" customWidth="1"/>
    <col min="4" max="4" width="12.25" customWidth="1"/>
    <col min="5" max="5" width="10.625" customWidth="1"/>
  </cols>
  <sheetData>
    <row r="3" spans="1:5" ht="14.25" customHeight="1">
      <c r="A3" s="144" t="s">
        <v>82</v>
      </c>
      <c r="B3" s="146">
        <v>1</v>
      </c>
      <c r="C3" s="148">
        <v>2</v>
      </c>
      <c r="D3" s="150">
        <v>3</v>
      </c>
      <c r="E3" s="169" t="s">
        <v>216</v>
      </c>
    </row>
    <row r="4" spans="1:5" ht="14.25" customHeight="1">
      <c r="A4" s="144" t="s">
        <v>81</v>
      </c>
      <c r="B4" s="147" t="s">
        <v>113</v>
      </c>
      <c r="C4" s="149" t="s">
        <v>114</v>
      </c>
      <c r="D4" s="151" t="s">
        <v>129</v>
      </c>
      <c r="E4" s="170"/>
    </row>
    <row r="5" spans="1:5">
      <c r="A5" s="145" t="s">
        <v>83</v>
      </c>
      <c r="B5" s="36">
        <v>400000</v>
      </c>
      <c r="C5" s="36">
        <v>1000000</v>
      </c>
      <c r="D5" s="143">
        <v>1230000</v>
      </c>
      <c r="E5" s="143">
        <f>SUM(B5:D5)</f>
        <v>2630000</v>
      </c>
    </row>
    <row r="6" spans="1:5">
      <c r="A6" s="144" t="s">
        <v>84</v>
      </c>
      <c r="B6" s="36">
        <v>200000</v>
      </c>
      <c r="C6" s="36">
        <v>300000</v>
      </c>
      <c r="D6" s="143"/>
      <c r="E6" s="143">
        <f t="shared" ref="E6:E14" si="0">SUM(B6:D6)</f>
        <v>500000</v>
      </c>
    </row>
    <row r="7" spans="1:5">
      <c r="A7" s="144" t="s">
        <v>85</v>
      </c>
      <c r="B7" s="36">
        <v>400000</v>
      </c>
      <c r="C7" s="36">
        <v>600000</v>
      </c>
      <c r="D7" s="143"/>
      <c r="E7" s="143">
        <f t="shared" si="0"/>
        <v>1000000</v>
      </c>
    </row>
    <row r="8" spans="1:5">
      <c r="A8" s="145" t="s">
        <v>86</v>
      </c>
      <c r="B8" s="36">
        <v>0</v>
      </c>
      <c r="C8" s="36">
        <v>0</v>
      </c>
      <c r="D8" s="143"/>
      <c r="E8" s="143">
        <f t="shared" si="0"/>
        <v>0</v>
      </c>
    </row>
    <row r="9" spans="1:5">
      <c r="A9" s="144" t="s">
        <v>118</v>
      </c>
      <c r="B9" s="36"/>
      <c r="C9" s="36">
        <v>0</v>
      </c>
      <c r="D9" s="143"/>
      <c r="E9" s="143">
        <f t="shared" si="0"/>
        <v>0</v>
      </c>
    </row>
    <row r="10" spans="1:5">
      <c r="A10" s="144" t="s">
        <v>119</v>
      </c>
      <c r="B10" s="36"/>
      <c r="C10" s="36">
        <v>0</v>
      </c>
      <c r="D10" s="143"/>
      <c r="E10" s="143">
        <f t="shared" si="0"/>
        <v>0</v>
      </c>
    </row>
    <row r="11" spans="1:5">
      <c r="A11" s="144" t="s">
        <v>120</v>
      </c>
      <c r="B11" s="36"/>
      <c r="C11" s="36">
        <v>600000</v>
      </c>
      <c r="D11" s="143"/>
      <c r="E11" s="143">
        <f t="shared" si="0"/>
        <v>600000</v>
      </c>
    </row>
    <row r="12" spans="1:5">
      <c r="A12" s="144" t="s">
        <v>121</v>
      </c>
      <c r="B12" s="36"/>
      <c r="C12" s="36">
        <v>600000</v>
      </c>
      <c r="D12" s="143"/>
      <c r="E12" s="143">
        <f t="shared" si="0"/>
        <v>600000</v>
      </c>
    </row>
    <row r="13" spans="1:5">
      <c r="A13" s="144" t="s">
        <v>122</v>
      </c>
      <c r="B13" s="36"/>
      <c r="C13" s="36">
        <v>600000</v>
      </c>
      <c r="D13" s="143"/>
      <c r="E13" s="143">
        <f t="shared" si="0"/>
        <v>600000</v>
      </c>
    </row>
    <row r="14" spans="1:5">
      <c r="A14" s="144" t="s">
        <v>123</v>
      </c>
      <c r="B14" s="36"/>
      <c r="C14" s="36">
        <v>600000</v>
      </c>
      <c r="D14" s="143"/>
      <c r="E14" s="143">
        <f t="shared" si="0"/>
        <v>600000</v>
      </c>
    </row>
    <row r="15" spans="1:5">
      <c r="A15" s="171" t="s">
        <v>216</v>
      </c>
      <c r="B15" s="172"/>
      <c r="C15" s="172"/>
      <c r="D15" s="172"/>
      <c r="E15" s="152">
        <f>SUM(E5:E14)</f>
        <v>6530000</v>
      </c>
    </row>
  </sheetData>
  <mergeCells count="2">
    <mergeCell ref="E3:E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Arkusz1</vt:lpstr>
      <vt:lpstr>Arkusz2</vt:lpstr>
      <vt:lpstr>Arkusz3</vt:lpstr>
      <vt:lpstr>Inf finansowa</vt:lpstr>
      <vt:lpstr>Arkusz5</vt:lpstr>
      <vt:lpstr>Arkusz1!Obszar_wydruku</vt:lpstr>
      <vt:lpstr>'Inf finansowa'!Tytuły_wydruku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OPTIMUS_OEM</cp:lastModifiedBy>
  <cp:lastPrinted>2011-05-20T08:54:46Z</cp:lastPrinted>
  <dcterms:created xsi:type="dcterms:W3CDTF">2010-10-07T05:45:12Z</dcterms:created>
  <dcterms:modified xsi:type="dcterms:W3CDTF">2011-05-20T08:54:48Z</dcterms:modified>
</cp:coreProperties>
</file>