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815" windowHeight="661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</externalReferences>
  <definedNames>
    <definedName name="_xlnm.Print_Area" localSheetId="0">Arkusz1!$A$1:$O$58</definedName>
  </definedNames>
  <calcPr calcId="125725"/>
</workbook>
</file>

<file path=xl/calcChain.xml><?xml version="1.0" encoding="utf-8"?>
<calcChain xmlns="http://schemas.openxmlformats.org/spreadsheetml/2006/main">
  <c r="C57" i="1"/>
  <c r="C45" l="1"/>
  <c r="O13"/>
  <c r="O22"/>
  <c r="O21" s="1"/>
  <c r="O30"/>
  <c r="O58"/>
  <c r="N13"/>
  <c r="N22"/>
  <c r="N30"/>
  <c r="C12"/>
  <c r="N21" l="1"/>
  <c r="N58"/>
  <c r="D7"/>
  <c r="E8" i="2"/>
  <c r="D3" i="1" l="1"/>
  <c r="D4"/>
  <c r="F7" i="3"/>
  <c r="G7"/>
  <c r="H7"/>
  <c r="I7"/>
  <c r="J7"/>
  <c r="K7"/>
  <c r="E7"/>
  <c r="F7" i="1"/>
  <c r="G7" s="1"/>
  <c r="H7" s="1"/>
  <c r="I7" s="1"/>
  <c r="J7" s="1"/>
  <c r="K7" s="1"/>
  <c r="L7" s="1"/>
  <c r="M7" s="1"/>
  <c r="N7" s="1"/>
  <c r="G30"/>
  <c r="F30"/>
  <c r="E30"/>
  <c r="D30"/>
  <c r="C30"/>
  <c r="D22"/>
  <c r="D45" s="1"/>
  <c r="E22"/>
  <c r="F22"/>
  <c r="G22"/>
  <c r="H22"/>
  <c r="I22"/>
  <c r="J22"/>
  <c r="K22"/>
  <c r="L22"/>
  <c r="M22"/>
  <c r="C22"/>
  <c r="C58" s="1"/>
  <c r="E4"/>
  <c r="E11"/>
  <c r="F11" s="1"/>
  <c r="G11" s="1"/>
  <c r="H11" s="1"/>
  <c r="I11" s="1"/>
  <c r="J11" s="1"/>
  <c r="K11" s="1"/>
  <c r="L11" s="1"/>
  <c r="M11" s="1"/>
  <c r="N11" s="1"/>
  <c r="O11" s="1"/>
  <c r="E10"/>
  <c r="F10" s="1"/>
  <c r="G10" s="1"/>
  <c r="H10" s="1"/>
  <c r="I10" s="1"/>
  <c r="J10" s="1"/>
  <c r="K10" s="1"/>
  <c r="L10" s="1"/>
  <c r="M10" s="1"/>
  <c r="N10" s="1"/>
  <c r="N6" l="1"/>
  <c r="N49" s="1"/>
  <c r="O7"/>
  <c r="O6" s="1"/>
  <c r="O49" s="1"/>
  <c r="O10"/>
  <c r="N54"/>
  <c r="N55" s="1"/>
  <c r="N56" s="1"/>
  <c r="N59" s="1"/>
  <c r="N16"/>
  <c r="N20" s="1"/>
  <c r="N39" s="1"/>
  <c r="N40" s="1"/>
  <c r="N43"/>
  <c r="E45"/>
  <c r="F45" s="1"/>
  <c r="G45" s="1"/>
  <c r="H45" s="1"/>
  <c r="I45" s="1"/>
  <c r="J45" s="1"/>
  <c r="K45" s="1"/>
  <c r="L45" s="1"/>
  <c r="M45" s="1"/>
  <c r="N45" s="1"/>
  <c r="O45" s="1"/>
  <c r="D12"/>
  <c r="E12" s="1"/>
  <c r="F12" s="1"/>
  <c r="G12" s="1"/>
  <c r="H12" s="1"/>
  <c r="I12" s="1"/>
  <c r="J12" s="1"/>
  <c r="K12" s="1"/>
  <c r="L12" s="1"/>
  <c r="M12" s="1"/>
  <c r="N12" s="1"/>
  <c r="O12" s="1"/>
  <c r="O54" l="1"/>
  <c r="O16"/>
  <c r="O20" s="1"/>
  <c r="O39" s="1"/>
  <c r="F4"/>
  <c r="H30"/>
  <c r="H54" s="1"/>
  <c r="I30"/>
  <c r="I54" s="1"/>
  <c r="J30"/>
  <c r="J54" s="1"/>
  <c r="K30"/>
  <c r="K54" s="1"/>
  <c r="L30"/>
  <c r="M30"/>
  <c r="M54" s="1"/>
  <c r="D13"/>
  <c r="E13"/>
  <c r="F13"/>
  <c r="G13"/>
  <c r="H13"/>
  <c r="I13"/>
  <c r="J13"/>
  <c r="K13"/>
  <c r="L13"/>
  <c r="M13"/>
  <c r="L54"/>
  <c r="H58"/>
  <c r="I58"/>
  <c r="J58"/>
  <c r="K58"/>
  <c r="L58"/>
  <c r="M58"/>
  <c r="O40" l="1"/>
  <c r="O55" s="1"/>
  <c r="O56" s="1"/>
  <c r="O59" s="1"/>
  <c r="G4"/>
  <c r="L21"/>
  <c r="J21"/>
  <c r="H21"/>
  <c r="M21"/>
  <c r="K21"/>
  <c r="I21"/>
  <c r="O43" l="1"/>
  <c r="H4"/>
  <c r="H6"/>
  <c r="H49" l="1"/>
  <c r="H16"/>
  <c r="H20" s="1"/>
  <c r="H39" s="1"/>
  <c r="I4"/>
  <c r="I6"/>
  <c r="H40" l="1"/>
  <c r="H55" s="1"/>
  <c r="H56" s="1"/>
  <c r="H59" s="1"/>
  <c r="I16"/>
  <c r="I20" s="1"/>
  <c r="I39" s="1"/>
  <c r="I49"/>
  <c r="J6"/>
  <c r="D8" i="2"/>
  <c r="C8"/>
  <c r="K50" i="1" l="1"/>
  <c r="C10" i="2"/>
  <c r="C50" i="1"/>
  <c r="I40"/>
  <c r="I55" s="1"/>
  <c r="I56" s="1"/>
  <c r="I59" s="1"/>
  <c r="H43"/>
  <c r="J16"/>
  <c r="J20" s="1"/>
  <c r="J39" s="1"/>
  <c r="J49"/>
  <c r="K6"/>
  <c r="F58"/>
  <c r="G58"/>
  <c r="D54"/>
  <c r="D55" s="1"/>
  <c r="E54"/>
  <c r="E55" s="1"/>
  <c r="F54"/>
  <c r="G54"/>
  <c r="D6"/>
  <c r="E6"/>
  <c r="F6"/>
  <c r="G6"/>
  <c r="J50" l="1"/>
  <c r="L50"/>
  <c r="G50"/>
  <c r="I50"/>
  <c r="I51" s="1"/>
  <c r="H50"/>
  <c r="H51" s="1"/>
  <c r="J40"/>
  <c r="J55" s="1"/>
  <c r="J56" s="1"/>
  <c r="J59" s="1"/>
  <c r="I43"/>
  <c r="J51"/>
  <c r="M6"/>
  <c r="L6"/>
  <c r="K16"/>
  <c r="K20" s="1"/>
  <c r="K39" s="1"/>
  <c r="K49"/>
  <c r="K51" s="1"/>
  <c r="D56"/>
  <c r="G16"/>
  <c r="G20" s="1"/>
  <c r="F16"/>
  <c r="F20" s="1"/>
  <c r="E53"/>
  <c r="E16"/>
  <c r="E20" s="1"/>
  <c r="E56"/>
  <c r="D53"/>
  <c r="D16"/>
  <c r="D20" s="1"/>
  <c r="E58"/>
  <c r="D58"/>
  <c r="G21"/>
  <c r="F21"/>
  <c r="E21"/>
  <c r="D21"/>
  <c r="D52" s="1"/>
  <c r="C21"/>
  <c r="M50" l="1"/>
  <c r="O50"/>
  <c r="O51" s="1"/>
  <c r="N50"/>
  <c r="N51" s="1"/>
  <c r="E49"/>
  <c r="E52"/>
  <c r="K40"/>
  <c r="K55" s="1"/>
  <c r="K56" s="1"/>
  <c r="K59" s="1"/>
  <c r="J43"/>
  <c r="L16"/>
  <c r="L20" s="1"/>
  <c r="L39" s="1"/>
  <c r="L49"/>
  <c r="L51" s="1"/>
  <c r="M16"/>
  <c r="M20" s="1"/>
  <c r="M39" s="1"/>
  <c r="M49"/>
  <c r="D59"/>
  <c r="E59"/>
  <c r="G49"/>
  <c r="G51" s="1"/>
  <c r="G39"/>
  <c r="F49"/>
  <c r="F39"/>
  <c r="E39"/>
  <c r="E43" s="1"/>
  <c r="D49"/>
  <c r="D39"/>
  <c r="D43" s="1"/>
  <c r="K43" l="1"/>
  <c r="M40"/>
  <c r="M55" s="1"/>
  <c r="M56" s="1"/>
  <c r="M59" s="1"/>
  <c r="L40"/>
  <c r="L55" s="1"/>
  <c r="L56" s="1"/>
  <c r="L59" s="1"/>
  <c r="G40"/>
  <c r="G55" s="1"/>
  <c r="G56" s="1"/>
  <c r="G59" s="1"/>
  <c r="F40"/>
  <c r="F55" s="1"/>
  <c r="F56" s="1"/>
  <c r="F59" s="1"/>
  <c r="M51"/>
  <c r="C6"/>
  <c r="C52" s="1"/>
  <c r="G43" l="1"/>
  <c r="L43"/>
  <c r="M43"/>
  <c r="F43"/>
  <c r="C49"/>
  <c r="C51" s="1"/>
  <c r="C53"/>
  <c r="C13" l="1"/>
  <c r="C54" l="1"/>
  <c r="D50" s="1"/>
  <c r="C16"/>
  <c r="C20" s="1"/>
  <c r="C39" s="1"/>
  <c r="D51" l="1"/>
  <c r="E50"/>
  <c r="E51" s="1"/>
  <c r="F50"/>
  <c r="F51" s="1"/>
  <c r="C43"/>
  <c r="C55" l="1"/>
  <c r="C56" s="1"/>
  <c r="C59" s="1"/>
</calcChain>
</file>

<file path=xl/sharedStrings.xml><?xml version="1.0" encoding="utf-8"?>
<sst xmlns="http://schemas.openxmlformats.org/spreadsheetml/2006/main" count="170" uniqueCount="134">
  <si>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</si>
  <si>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</si>
  <si>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</si>
  <si>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</si>
  <si>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</si>
  <si>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</si>
  <si>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</si>
  <si>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</si>
  <si>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</si>
  <si>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</si>
  <si>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</si>
  <si>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</si>
  <si>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</si>
  <si>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</si>
  <si>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</si>
  <si>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</si>
  <si>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</si>
  <si>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</si>
  <si>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</si>
  <si>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</si>
  <si>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</si>
  <si>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</si>
  <si>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</si>
  <si>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</si>
  <si>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</si>
  <si>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</si>
  <si>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</si>
  <si>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</si>
  <si>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</si>
  <si>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</si>
  <si>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</si>
  <si>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</si>
  <si>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</si>
  <si>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</si>
  <si>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</si>
  <si>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</si>
  <si>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</si>
  <si>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</si>
  <si>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</si>
  <si>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</si>
  <si>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</si>
  <si>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</si>
  <si>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</si>
  <si>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</si>
  <si>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</si>
  <si>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</si>
  <si>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</si>
  <si>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</si>
  <si>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</si>
  <si>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</si>
  <si>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</si>
  <si>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</si>
  <si>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</si>
  <si>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</si>
  <si>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</si>
  <si>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</si>
  <si>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</si>
  <si>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</si>
  <si>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</si>
  <si>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</si>
  <si>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</si>
  <si>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</si>
  <si>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</si>
  <si>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</si>
  <si>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</si>
  <si>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</si>
  <si>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</si>
  <si>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</si>
  <si>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</si>
  <si>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</si>
  <si>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</si>
  <si>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</si>
  <si>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</si>
  <si>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</si>
  <si>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</si>
  <si>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</si>
  <si>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</si>
  <si>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</si>
  <si>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</si>
  <si>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</si>
  <si>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</si>
  <si>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</si>
  <si>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</si>
  <si>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</si>
  <si>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</si>
  <si>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</si>
  <si>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</si>
  <si>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</si>
  <si>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</si>
  <si>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>, z tego:</t>
    </r>
  </si>
  <si>
    <r>
      <t xml:space="preserve">  na wynagrodzenia i składki od nich naliczane</t>
    </r>
    <r>
      <rPr>
        <vertAlign val="superscript"/>
        <sz val="10"/>
        <color theme="1"/>
        <rFont val="Arial"/>
        <family val="2"/>
        <charset val="238"/>
      </rPr>
      <t>4)</t>
    </r>
  </si>
  <si>
    <r>
      <t xml:space="preserve">  związane z funkcjonowaniem organów JST</t>
    </r>
    <r>
      <rPr>
        <vertAlign val="superscript"/>
        <sz val="10"/>
        <color theme="1"/>
        <rFont val="Arial"/>
        <family val="2"/>
        <charset val="238"/>
      </rPr>
      <t>5)</t>
    </r>
  </si>
  <si>
    <r>
      <t>Inne przychody niezwiązane z zaciągnięciem długu</t>
    </r>
    <r>
      <rPr>
        <b/>
        <vertAlign val="superscript"/>
        <sz val="10"/>
        <color theme="1"/>
        <rFont val="Arial"/>
        <family val="2"/>
        <charset val="238"/>
      </rPr>
      <t>7)</t>
    </r>
  </si>
  <si>
    <r>
      <t>Wydatki majątkowe</t>
    </r>
    <r>
      <rPr>
        <b/>
        <vertAlign val="superscript"/>
        <sz val="10"/>
        <color theme="1"/>
        <rFont val="Arial"/>
        <family val="2"/>
        <charset val="238"/>
      </rPr>
      <t>8)</t>
    </r>
    <r>
      <rPr>
        <b/>
        <sz val="10"/>
        <color theme="1"/>
        <rFont val="Arial"/>
        <family val="2"/>
        <charset val="238"/>
      </rPr>
      <t>, w tym:</t>
    </r>
  </si>
  <si>
    <r>
      <t>Przychody (kredyty, pożyczki, emisje obligacji)</t>
    </r>
    <r>
      <rPr>
        <b/>
        <vertAlign val="superscript"/>
        <sz val="10"/>
        <color theme="1"/>
        <rFont val="Arial"/>
        <family val="2"/>
        <charset val="238"/>
      </rPr>
      <t>9)</t>
    </r>
  </si>
  <si>
    <r>
      <t>Wynik finansowy budżetu (9-10+11)</t>
    </r>
    <r>
      <rPr>
        <b/>
        <vertAlign val="superscript"/>
        <sz val="10"/>
        <color theme="1"/>
        <rFont val="Arial"/>
        <family val="2"/>
        <charset val="238"/>
      </rPr>
      <t>10)</t>
    </r>
  </si>
  <si>
    <r>
      <t>Kwota długu</t>
    </r>
    <r>
      <rPr>
        <b/>
        <vertAlign val="superscript"/>
        <sz val="10"/>
        <color theme="1"/>
        <rFont val="Arial"/>
        <family val="2"/>
        <charset val="238"/>
      </rPr>
      <t>11)</t>
    </r>
    <r>
      <rPr>
        <b/>
        <sz val="10"/>
        <color theme="1"/>
        <rFont val="Arial"/>
        <family val="2"/>
        <charset val="238"/>
      </rPr>
      <t>, w tym: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</si>
  <si>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theme="1"/>
        <rFont val="Arial"/>
        <family val="2"/>
        <charset val="238"/>
      </rPr>
      <t>13)</t>
    </r>
  </si>
  <si>
    <r>
      <t>Planowana łączna kwota spłaty zobowiązań</t>
    </r>
    <r>
      <rPr>
        <b/>
        <vertAlign val="superscript"/>
        <sz val="10"/>
        <color theme="1"/>
        <rFont val="Arial"/>
        <family val="2"/>
        <charset val="238"/>
      </rPr>
      <t>14)</t>
    </r>
  </si>
  <si>
    <r>
      <t xml:space="preserve">  maksymalny dopuszczalny wskaźnik spłaty z art. 243 ufp</t>
    </r>
    <r>
      <rPr>
        <vertAlign val="superscript"/>
        <sz val="10"/>
        <color theme="1"/>
        <rFont val="Arial"/>
        <family val="2"/>
        <charset val="238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</si>
  <si>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theme="1"/>
        <rFont val="Arial"/>
        <family val="2"/>
        <charset val="238"/>
      </rPr>
      <t>16)</t>
    </r>
  </si>
  <si>
    <r>
      <t>Planowana łączna kwota spłaty zobowiązań /dochody ogółem -max 15% z art. 169 sufp</t>
    </r>
    <r>
      <rPr>
        <b/>
        <vertAlign val="superscript"/>
        <sz val="10"/>
        <color theme="1"/>
        <rFont val="Arial"/>
        <family val="2"/>
        <charset val="238"/>
      </rPr>
      <t>17)</t>
    </r>
  </si>
  <si>
    <r>
      <t>Zadłużenie/dochody ogółem (13 –13a):1) - max 60% z art. 170 sufp</t>
    </r>
    <r>
      <rPr>
        <b/>
        <vertAlign val="superscript"/>
        <sz val="10"/>
        <color theme="1"/>
        <rFont val="Arial"/>
        <family val="2"/>
        <charset val="238"/>
      </rPr>
      <t>18)</t>
    </r>
  </si>
  <si>
    <t>d )</t>
  </si>
  <si>
    <r>
      <t xml:space="preserve">  wydatki bieżące objęte limitem art. 226 ust. 4 ufp</t>
    </r>
    <r>
      <rPr>
        <vertAlign val="superscript"/>
        <sz val="10"/>
        <color theme="1"/>
        <rFont val="Arial"/>
        <family val="2"/>
        <charset val="238"/>
      </rPr>
      <t>6)</t>
    </r>
  </si>
  <si>
    <r>
      <t>Wydatki bieżące</t>
    </r>
    <r>
      <rPr>
        <b/>
        <vertAlign val="superscript"/>
        <sz val="10"/>
        <color theme="1"/>
        <rFont val="Arial"/>
        <family val="2"/>
        <charset val="238"/>
      </rPr>
      <t>3)</t>
    </r>
    <r>
      <rPr>
        <b/>
        <sz val="10"/>
        <color theme="1"/>
        <rFont val="Arial"/>
        <family val="2"/>
        <charset val="238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</si>
  <si>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</si>
  <si>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</si>
  <si>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r>
      <t xml:space="preserve">** powinna zostać spełniona zależność odnośnie lewej strony wzoru po uwzględnieniu poz. 14 w stosunku do prawej strony wzoru - </t>
    </r>
    <r>
      <rPr>
        <b/>
        <sz val="10"/>
        <rFont val="Arial"/>
        <family val="2"/>
        <charset val="238"/>
      </rPr>
      <t>niewłaściwe skreślić**</t>
    </r>
  </si>
  <si>
    <t>Środki do dyspozycji (3+4+5) na  (7+8+9)</t>
  </si>
  <si>
    <t>x</t>
  </si>
  <si>
    <t>pozyczka2003</t>
  </si>
  <si>
    <t xml:space="preserve">kredyt euro </t>
  </si>
  <si>
    <t>obligacje2009</t>
  </si>
  <si>
    <t>obligacje2010</t>
  </si>
  <si>
    <t>prowizje</t>
  </si>
  <si>
    <t xml:space="preserve">Wydatki bieżące </t>
  </si>
  <si>
    <t>2010 3kw</t>
  </si>
  <si>
    <t>2015 r.</t>
  </si>
  <si>
    <t>2016 r.</t>
  </si>
  <si>
    <t>2017 r.</t>
  </si>
  <si>
    <t>2018 r.</t>
  </si>
  <si>
    <t>2019 r.</t>
  </si>
  <si>
    <t>2020 r.</t>
  </si>
  <si>
    <t>2021 r.</t>
  </si>
  <si>
    <t>obligacje 2011</t>
  </si>
  <si>
    <t>obligaacje 2011</t>
  </si>
  <si>
    <t>obligacje 2012</t>
  </si>
  <si>
    <r>
      <t xml:space="preserve">  łączna kwota wyłączeń z art. 243 ust. 3 pkt 1 ufp oraz
  z art. 170 ust. 3 sufp</t>
    </r>
    <r>
      <rPr>
        <b/>
        <vertAlign val="superscript"/>
        <sz val="10"/>
        <rFont val="Arial"/>
        <family val="2"/>
        <charset val="238"/>
      </rPr>
      <t>12)</t>
    </r>
  </si>
  <si>
    <t>obligacje 2010 UE</t>
  </si>
  <si>
    <t>2022 r.</t>
  </si>
  <si>
    <t>2023 r.</t>
  </si>
  <si>
    <t xml:space="preserve">Wieloletnia prognoza finansowa Gminy Widuchowa </t>
  </si>
  <si>
    <t>Załącznik Nr 1
do Zarządzenia Nr 42/2011 Wójta Gminy Widuchowa 
z dnia 28 lutego 2011 r.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</si>
</sst>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 ce"/>
      <charset val="238"/>
    </font>
    <font>
      <b/>
      <sz val="11"/>
      <color rgb="FFFF0000"/>
      <name val="Czcionka tekstu podstawowego"/>
      <family val="2"/>
      <charset val="238"/>
    </font>
    <font>
      <b/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3" fontId="7" fillId="3" borderId="3" xfId="0" applyNumberFormat="1" applyFont="1" applyFill="1" applyBorder="1" applyAlignment="1">
      <alignment vertical="top" wrapText="1"/>
    </xf>
    <xf numFmtId="3" fontId="7" fillId="4" borderId="5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top" wrapText="1"/>
    </xf>
    <xf numFmtId="3" fontId="7" fillId="5" borderId="1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3" fontId="11" fillId="2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4" fontId="0" fillId="0" borderId="0" xfId="0" applyNumberFormat="1"/>
    <xf numFmtId="10" fontId="7" fillId="0" borderId="1" xfId="0" applyNumberFormat="1" applyFont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9" fillId="0" borderId="0" xfId="1" applyFont="1" applyBorder="1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12" fillId="0" borderId="0" xfId="0" applyFont="1" applyAlignment="1">
      <alignment wrapText="1"/>
    </xf>
    <xf numFmtId="3" fontId="10" fillId="2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</cellXfs>
  <cellStyles count="2">
    <cellStyle name="Normalny" xfId="0" builtinId="0"/>
    <cellStyle name="Normalny_Prognoza i kredyty-tabele 2003" xfId="1"/>
  </cellStyles>
  <dxfs count="0"/>
  <tableStyles count="0" defaultTableStyle="TableStyleMedium9" defaultPivotStyle="PivotStyleLight16"/>
  <colors>
    <mruColors>
      <color rgb="FFFF5A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!/Budzet/2011/Wersja%20finalna%20-%20projekt/projWiduchowa2011final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!/Budzet/2011/projWiduchowa2011roboczy%20UE%20ver%2000%20bez%20wypelnienia%20kopia%20z%20dnia%2031paz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>
        <row r="76">
          <cell r="F76">
            <v>8800</v>
          </cell>
        </row>
        <row r="82">
          <cell r="F82">
            <v>69500</v>
          </cell>
        </row>
        <row r="87">
          <cell r="F87">
            <v>2185321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>
        <row r="444">
          <cell r="L4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view="pageBreakPreview" topLeftCell="G50" zoomScaleNormal="100" zoomScaleSheetLayoutView="100" workbookViewId="0">
      <selection activeCell="K1" sqref="K1:L1"/>
    </sheetView>
  </sheetViews>
  <sheetFormatPr defaultRowHeight="14.25"/>
  <cols>
    <col min="1" max="1" width="5.5" style="1" customWidth="1"/>
    <col min="2" max="2" width="50.75" customWidth="1"/>
    <col min="3" max="15" width="12.625" customWidth="1"/>
  </cols>
  <sheetData>
    <row r="1" spans="1:15" ht="46.5" customHeight="1">
      <c r="B1" s="4"/>
      <c r="K1" s="50" t="s">
        <v>133</v>
      </c>
      <c r="L1" s="50"/>
    </row>
    <row r="2" spans="1:15" ht="30.75" customHeight="1">
      <c r="A2" s="52" t="s">
        <v>132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</row>
    <row r="3" spans="1:15" ht="14.25" hidden="1" customHeight="1">
      <c r="A3" s="43"/>
      <c r="B3" s="43"/>
      <c r="C3" s="43"/>
      <c r="D3" s="43">
        <f>(D10-C10)/C10</f>
        <v>2.1634900142594615E-2</v>
      </c>
    </row>
    <row r="4" spans="1:15" hidden="1">
      <c r="D4" s="45">
        <f>(D7-C7)/C7</f>
        <v>2.9920312734927079E-2</v>
      </c>
      <c r="E4" s="45">
        <f t="shared" ref="E4:I4" si="0">(E7-D7)/D7</f>
        <v>7.555175182481752E-2</v>
      </c>
      <c r="F4" s="45">
        <f t="shared" si="0"/>
        <v>5.1912992000914281E-2</v>
      </c>
      <c r="G4" s="45">
        <f t="shared" si="0"/>
        <v>0.03</v>
      </c>
      <c r="H4" s="45">
        <f t="shared" si="0"/>
        <v>0.03</v>
      </c>
      <c r="I4" s="45">
        <f t="shared" si="0"/>
        <v>0.03</v>
      </c>
    </row>
    <row r="5" spans="1:15">
      <c r="A5" s="5" t="s">
        <v>82</v>
      </c>
      <c r="B5" s="5" t="s">
        <v>81</v>
      </c>
      <c r="C5" s="6" t="s">
        <v>83</v>
      </c>
      <c r="D5" s="5" t="s">
        <v>84</v>
      </c>
      <c r="E5" s="5" t="s">
        <v>85</v>
      </c>
      <c r="F5" s="6" t="s">
        <v>86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123</v>
      </c>
      <c r="M5" s="5" t="s">
        <v>124</v>
      </c>
      <c r="N5" s="5" t="s">
        <v>130</v>
      </c>
      <c r="O5" s="5" t="s">
        <v>131</v>
      </c>
    </row>
    <row r="6" spans="1:15" s="2" customFormat="1">
      <c r="A6" s="7" t="s">
        <v>36</v>
      </c>
      <c r="B6" s="8" t="s">
        <v>89</v>
      </c>
      <c r="C6" s="25">
        <f>SUM(C7:C8)</f>
        <v>20636163</v>
      </c>
      <c r="D6" s="25">
        <f t="shared" ref="D6:G6" si="1">SUM(D7:D8)</f>
        <v>16742000</v>
      </c>
      <c r="E6" s="25">
        <f t="shared" si="1"/>
        <v>16643059</v>
      </c>
      <c r="F6" s="25">
        <f t="shared" si="1"/>
        <v>15800000</v>
      </c>
      <c r="G6" s="25">
        <f t="shared" si="1"/>
        <v>16265000</v>
      </c>
      <c r="H6" s="25">
        <f t="shared" ref="H6:M6" si="2">SUM(H7:H8)</f>
        <v>16743950</v>
      </c>
      <c r="I6" s="25">
        <f t="shared" si="2"/>
        <v>17237268.5</v>
      </c>
      <c r="J6" s="25">
        <f t="shared" si="2"/>
        <v>17745386.555</v>
      </c>
      <c r="K6" s="25">
        <f t="shared" si="2"/>
        <v>18268748.15165</v>
      </c>
      <c r="L6" s="25">
        <f t="shared" si="2"/>
        <v>18807810.596199501</v>
      </c>
      <c r="M6" s="25">
        <f t="shared" si="2"/>
        <v>19363044.914085485</v>
      </c>
      <c r="N6" s="25">
        <f t="shared" ref="N6:O6" si="3">SUM(N7:N8)</f>
        <v>19934936.261508051</v>
      </c>
      <c r="O6" s="25">
        <f t="shared" si="3"/>
        <v>20523984.349353295</v>
      </c>
    </row>
    <row r="7" spans="1:15" s="2" customFormat="1">
      <c r="A7" s="9" t="s">
        <v>18</v>
      </c>
      <c r="B7" s="10" t="s">
        <v>13</v>
      </c>
      <c r="C7" s="25">
        <v>13302000</v>
      </c>
      <c r="D7" s="25">
        <f>13700000</f>
        <v>13700000</v>
      </c>
      <c r="E7" s="25">
        <v>14735059</v>
      </c>
      <c r="F7" s="25">
        <f>15500000</f>
        <v>15500000</v>
      </c>
      <c r="G7" s="25">
        <f>F7*1.03</f>
        <v>15965000</v>
      </c>
      <c r="H7" s="25">
        <f t="shared" ref="H7:O7" si="4">G7*1.03</f>
        <v>16443950</v>
      </c>
      <c r="I7" s="25">
        <f t="shared" si="4"/>
        <v>16937268.5</v>
      </c>
      <c r="J7" s="25">
        <f t="shared" si="4"/>
        <v>17445386.555</v>
      </c>
      <c r="K7" s="25">
        <f t="shared" si="4"/>
        <v>17968748.15165</v>
      </c>
      <c r="L7" s="25">
        <f t="shared" si="4"/>
        <v>18507810.596199501</v>
      </c>
      <c r="M7" s="25">
        <f t="shared" si="4"/>
        <v>19063044.914085485</v>
      </c>
      <c r="N7" s="25">
        <f t="shared" si="4"/>
        <v>19634936.261508051</v>
      </c>
      <c r="O7" s="25">
        <f t="shared" si="4"/>
        <v>20223984.349353295</v>
      </c>
    </row>
    <row r="8" spans="1:15" s="2" customFormat="1">
      <c r="A8" s="9" t="s">
        <v>19</v>
      </c>
      <c r="B8" s="11" t="s">
        <v>14</v>
      </c>
      <c r="C8" s="26">
        <v>7334163</v>
      </c>
      <c r="D8" s="26">
        <v>3042000</v>
      </c>
      <c r="E8" s="26">
        <v>1908000</v>
      </c>
      <c r="F8" s="26">
        <v>300000</v>
      </c>
      <c r="G8" s="26">
        <v>300000</v>
      </c>
      <c r="H8" s="26">
        <v>300000</v>
      </c>
      <c r="I8" s="26">
        <v>300000</v>
      </c>
      <c r="J8" s="26">
        <v>300000</v>
      </c>
      <c r="K8" s="26">
        <v>300000</v>
      </c>
      <c r="L8" s="26">
        <v>300000</v>
      </c>
      <c r="M8" s="26">
        <v>300000</v>
      </c>
      <c r="N8" s="26">
        <v>300000</v>
      </c>
      <c r="O8" s="26">
        <v>300000</v>
      </c>
    </row>
    <row r="9" spans="1:15" s="2" customFormat="1">
      <c r="A9" s="9"/>
      <c r="B9" s="11" t="s">
        <v>87</v>
      </c>
      <c r="C9" s="25">
        <v>190000</v>
      </c>
      <c r="D9" s="25">
        <v>400000</v>
      </c>
      <c r="E9" s="25">
        <v>422000</v>
      </c>
      <c r="F9" s="25">
        <v>300000</v>
      </c>
      <c r="G9" s="25">
        <v>300000</v>
      </c>
      <c r="H9" s="25">
        <v>300000</v>
      </c>
      <c r="I9" s="25">
        <v>300000</v>
      </c>
      <c r="J9" s="25">
        <v>300000</v>
      </c>
      <c r="K9" s="25">
        <v>300000</v>
      </c>
      <c r="L9" s="25">
        <v>300000</v>
      </c>
      <c r="M9" s="25">
        <v>300000</v>
      </c>
      <c r="N9" s="25">
        <v>300000</v>
      </c>
      <c r="O9" s="25">
        <v>300000</v>
      </c>
    </row>
    <row r="10" spans="1:15" s="2" customFormat="1" ht="51" customHeight="1">
      <c r="A10" s="7" t="s">
        <v>37</v>
      </c>
      <c r="B10" s="8" t="s">
        <v>105</v>
      </c>
      <c r="C10" s="25">
        <v>12628808</v>
      </c>
      <c r="D10" s="25">
        <v>12902031</v>
      </c>
      <c r="E10" s="25">
        <f t="shared" ref="E10:O10" si="5">D10*1.03</f>
        <v>13289091.93</v>
      </c>
      <c r="F10" s="25">
        <f t="shared" si="5"/>
        <v>13687764.687899999</v>
      </c>
      <c r="G10" s="25">
        <f t="shared" si="5"/>
        <v>14098397.628536999</v>
      </c>
      <c r="H10" s="25">
        <f t="shared" si="5"/>
        <v>14521349.557393109</v>
      </c>
      <c r="I10" s="25">
        <f t="shared" si="5"/>
        <v>14956990.044114903</v>
      </c>
      <c r="J10" s="25">
        <f t="shared" si="5"/>
        <v>15405699.74543835</v>
      </c>
      <c r="K10" s="25">
        <f t="shared" si="5"/>
        <v>15867870.737801502</v>
      </c>
      <c r="L10" s="25">
        <f t="shared" si="5"/>
        <v>16343906.859935546</v>
      </c>
      <c r="M10" s="25">
        <f t="shared" si="5"/>
        <v>16834224.065733612</v>
      </c>
      <c r="N10" s="25">
        <f t="shared" si="5"/>
        <v>17339250.787705619</v>
      </c>
      <c r="O10" s="25">
        <f t="shared" si="5"/>
        <v>17859428.311336789</v>
      </c>
    </row>
    <row r="11" spans="1:15" s="2" customFormat="1">
      <c r="A11" s="9" t="s">
        <v>18</v>
      </c>
      <c r="B11" s="11" t="s">
        <v>90</v>
      </c>
      <c r="C11" s="26">
        <v>5923327</v>
      </c>
      <c r="D11" s="26">
        <v>6098967</v>
      </c>
      <c r="E11" s="26">
        <f t="shared" ref="E11:O11" si="6">D11*1.03</f>
        <v>6281936.0099999998</v>
      </c>
      <c r="F11" s="26">
        <f t="shared" si="6"/>
        <v>6470394.0903000003</v>
      </c>
      <c r="G11" s="26">
        <f t="shared" si="6"/>
        <v>6664505.913009</v>
      </c>
      <c r="H11" s="26">
        <f t="shared" si="6"/>
        <v>6864441.0903992699</v>
      </c>
      <c r="I11" s="26">
        <f t="shared" si="6"/>
        <v>7070374.3231112482</v>
      </c>
      <c r="J11" s="26">
        <f t="shared" si="6"/>
        <v>7282485.5528045855</v>
      </c>
      <c r="K11" s="26">
        <f t="shared" si="6"/>
        <v>7500960.1193887237</v>
      </c>
      <c r="L11" s="26">
        <f t="shared" si="6"/>
        <v>7725988.9229703853</v>
      </c>
      <c r="M11" s="26">
        <f t="shared" si="6"/>
        <v>7957768.5906594973</v>
      </c>
      <c r="N11" s="26">
        <f t="shared" si="6"/>
        <v>8196501.6483792821</v>
      </c>
      <c r="O11" s="26">
        <f t="shared" si="6"/>
        <v>8442396.6978306603</v>
      </c>
    </row>
    <row r="12" spans="1:15" s="2" customFormat="1">
      <c r="A12" s="9" t="s">
        <v>19</v>
      </c>
      <c r="B12" s="11" t="s">
        <v>91</v>
      </c>
      <c r="C12" s="26">
        <f>SUM('[1]2'!$F$76,'[1]2'!$F$82,'[1]2'!$F$87)</f>
        <v>2263621</v>
      </c>
      <c r="D12" s="26">
        <f>C12*1.03</f>
        <v>2331529.63</v>
      </c>
      <c r="E12" s="26">
        <f t="shared" ref="E12:O12" si="7">D12*1.03</f>
        <v>2401475.5189</v>
      </c>
      <c r="F12" s="26">
        <f t="shared" si="7"/>
        <v>2473519.784467</v>
      </c>
      <c r="G12" s="26">
        <f t="shared" si="7"/>
        <v>2547725.37800101</v>
      </c>
      <c r="H12" s="26">
        <f t="shared" si="7"/>
        <v>2624157.1393410405</v>
      </c>
      <c r="I12" s="26">
        <f t="shared" si="7"/>
        <v>2702881.8535212716</v>
      </c>
      <c r="J12" s="26">
        <f t="shared" si="7"/>
        <v>2783968.3091269098</v>
      </c>
      <c r="K12" s="26">
        <f t="shared" si="7"/>
        <v>2867487.3584007174</v>
      </c>
      <c r="L12" s="26">
        <f t="shared" si="7"/>
        <v>2953511.979152739</v>
      </c>
      <c r="M12" s="26">
        <f t="shared" si="7"/>
        <v>3042117.3385273213</v>
      </c>
      <c r="N12" s="26">
        <f t="shared" si="7"/>
        <v>3133380.8586831409</v>
      </c>
      <c r="O12" s="26">
        <f t="shared" si="7"/>
        <v>3227382.284443635</v>
      </c>
    </row>
    <row r="13" spans="1:15" s="2" customFormat="1">
      <c r="A13" s="9" t="s">
        <v>20</v>
      </c>
      <c r="B13" s="11" t="s">
        <v>15</v>
      </c>
      <c r="C13" s="25">
        <f>'[2]2'!$L$444</f>
        <v>0</v>
      </c>
      <c r="D13" s="25">
        <f>'[2]2'!$L$444</f>
        <v>0</v>
      </c>
      <c r="E13" s="25">
        <f>'[2]2'!$L$444</f>
        <v>0</v>
      </c>
      <c r="F13" s="25">
        <f>'[2]2'!$L$444</f>
        <v>0</v>
      </c>
      <c r="G13" s="25">
        <f>'[2]2'!$L$444</f>
        <v>0</v>
      </c>
      <c r="H13" s="25">
        <f>'[2]2'!$L$444</f>
        <v>0</v>
      </c>
      <c r="I13" s="25">
        <f>'[2]2'!$L$444</f>
        <v>0</v>
      </c>
      <c r="J13" s="25">
        <f>'[2]2'!$L$444</f>
        <v>0</v>
      </c>
      <c r="K13" s="25">
        <f>'[2]2'!$L$444</f>
        <v>0</v>
      </c>
      <c r="L13" s="25">
        <f>'[2]2'!$L$444</f>
        <v>0</v>
      </c>
      <c r="M13" s="25">
        <f>'[2]2'!$L$444</f>
        <v>0</v>
      </c>
      <c r="N13" s="25">
        <f>'[2]2'!$L$444</f>
        <v>0</v>
      </c>
      <c r="O13" s="25">
        <f>'[2]2'!$L$444</f>
        <v>0</v>
      </c>
    </row>
    <row r="14" spans="1:15" s="2" customFormat="1" ht="25.5">
      <c r="A14" s="9"/>
      <c r="B14" s="11" t="s">
        <v>88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2" customFormat="1">
      <c r="A15" s="9" t="s">
        <v>103</v>
      </c>
      <c r="B15" s="11" t="s">
        <v>104</v>
      </c>
      <c r="C15" s="26">
        <v>383243</v>
      </c>
      <c r="D15" s="26">
        <v>223545.58</v>
      </c>
      <c r="E15" s="26">
        <v>11549</v>
      </c>
      <c r="F15" s="26">
        <v>7280</v>
      </c>
      <c r="G15" s="26">
        <v>0</v>
      </c>
      <c r="H15" s="26"/>
      <c r="I15" s="26"/>
      <c r="J15" s="26"/>
      <c r="K15" s="26"/>
      <c r="L15" s="26"/>
      <c r="M15" s="26"/>
      <c r="N15" s="26"/>
      <c r="O15" s="26"/>
    </row>
    <row r="16" spans="1:15" s="2" customFormat="1" ht="25.5">
      <c r="A16" s="7" t="s">
        <v>38</v>
      </c>
      <c r="B16" s="18" t="s">
        <v>0</v>
      </c>
      <c r="C16" s="27">
        <f>C6-C10</f>
        <v>8007355</v>
      </c>
      <c r="D16" s="27">
        <f t="shared" ref="D16:G16" si="8">D6-D10</f>
        <v>3839969</v>
      </c>
      <c r="E16" s="27">
        <f t="shared" si="8"/>
        <v>3353967.0700000003</v>
      </c>
      <c r="F16" s="27">
        <f t="shared" si="8"/>
        <v>2112235.3121000007</v>
      </c>
      <c r="G16" s="27">
        <f t="shared" si="8"/>
        <v>2166602.3714630008</v>
      </c>
      <c r="H16" s="27">
        <f t="shared" ref="H16:M16" si="9">H6-H10</f>
        <v>2222600.4426068906</v>
      </c>
      <c r="I16" s="27">
        <f t="shared" si="9"/>
        <v>2280278.4558850974</v>
      </c>
      <c r="J16" s="27">
        <f t="shared" si="9"/>
        <v>2339686.8095616493</v>
      </c>
      <c r="K16" s="27">
        <f t="shared" si="9"/>
        <v>2400877.4138484988</v>
      </c>
      <c r="L16" s="27">
        <f t="shared" si="9"/>
        <v>2463903.736263955</v>
      </c>
      <c r="M16" s="27">
        <f t="shared" si="9"/>
        <v>2528820.8483518735</v>
      </c>
      <c r="N16" s="27">
        <f t="shared" ref="N16:O16" si="10">N6-N10</f>
        <v>2595685.4738024324</v>
      </c>
      <c r="O16" s="27">
        <f t="shared" si="10"/>
        <v>2664556.0380165055</v>
      </c>
    </row>
    <row r="17" spans="1:15" s="2" customFormat="1" ht="25.5">
      <c r="A17" s="7" t="s">
        <v>39</v>
      </c>
      <c r="B17" s="18" t="s">
        <v>1</v>
      </c>
      <c r="C17" s="27">
        <v>3134392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  <row r="18" spans="1:15" s="2" customFormat="1" ht="38.25">
      <c r="A18" s="9"/>
      <c r="B18" s="11" t="s">
        <v>106</v>
      </c>
      <c r="C18" s="26">
        <v>835392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2" customFormat="1" ht="15" thickBot="1">
      <c r="A19" s="7" t="s">
        <v>34</v>
      </c>
      <c r="B19" s="22" t="s">
        <v>92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s="2" customFormat="1" ht="30" customHeight="1" thickBot="1">
      <c r="A20" s="19" t="s">
        <v>35</v>
      </c>
      <c r="B20" s="21" t="s">
        <v>109</v>
      </c>
      <c r="C20" s="29">
        <f>SUM(C16:C17,C19)</f>
        <v>11141747</v>
      </c>
      <c r="D20" s="29">
        <f t="shared" ref="D20:G20" si="11">SUM(D16:D17,D19)</f>
        <v>3839969</v>
      </c>
      <c r="E20" s="29">
        <f t="shared" si="11"/>
        <v>3353967.0700000003</v>
      </c>
      <c r="F20" s="29">
        <f t="shared" si="11"/>
        <v>2112235.3121000007</v>
      </c>
      <c r="G20" s="29">
        <f t="shared" si="11"/>
        <v>2166602.3714630008</v>
      </c>
      <c r="H20" s="29">
        <f t="shared" ref="H20:M20" si="12">SUM(H16:H17,H19)</f>
        <v>2222600.4426068906</v>
      </c>
      <c r="I20" s="29">
        <f t="shared" si="12"/>
        <v>2280278.4558850974</v>
      </c>
      <c r="J20" s="29">
        <f t="shared" si="12"/>
        <v>2339686.8095616493</v>
      </c>
      <c r="K20" s="29">
        <f t="shared" si="12"/>
        <v>2400877.4138484988</v>
      </c>
      <c r="L20" s="29">
        <f t="shared" si="12"/>
        <v>2463903.736263955</v>
      </c>
      <c r="M20" s="29">
        <f t="shared" si="12"/>
        <v>2528820.8483518735</v>
      </c>
      <c r="N20" s="29">
        <f t="shared" ref="N20:O20" si="13">SUM(N16:N17,N19)</f>
        <v>2595685.4738024324</v>
      </c>
      <c r="O20" s="29">
        <f t="shared" si="13"/>
        <v>2664556.0380165055</v>
      </c>
    </row>
    <row r="21" spans="1:15" s="2" customFormat="1">
      <c r="A21" s="7" t="s">
        <v>40</v>
      </c>
      <c r="B21" s="20" t="s">
        <v>2</v>
      </c>
      <c r="C21" s="27">
        <f t="shared" ref="C21:N21" si="14">SUM(C22,C30)</f>
        <v>2693500</v>
      </c>
      <c r="D21" s="27">
        <f t="shared" si="14"/>
        <v>1191446</v>
      </c>
      <c r="E21" s="27">
        <f t="shared" si="14"/>
        <v>1548225</v>
      </c>
      <c r="F21" s="27">
        <f t="shared" si="14"/>
        <v>506000</v>
      </c>
      <c r="G21" s="27">
        <f t="shared" si="14"/>
        <v>611000</v>
      </c>
      <c r="H21" s="27">
        <f t="shared" si="14"/>
        <v>901000</v>
      </c>
      <c r="I21" s="27">
        <f t="shared" si="14"/>
        <v>1674000</v>
      </c>
      <c r="J21" s="27">
        <f t="shared" si="14"/>
        <v>1602000</v>
      </c>
      <c r="K21" s="27">
        <f t="shared" si="14"/>
        <v>1431000</v>
      </c>
      <c r="L21" s="27">
        <f t="shared" si="14"/>
        <v>1465000</v>
      </c>
      <c r="M21" s="27">
        <f t="shared" si="14"/>
        <v>1192000</v>
      </c>
      <c r="N21" s="27">
        <f t="shared" si="14"/>
        <v>560000</v>
      </c>
      <c r="O21" s="27">
        <f t="shared" ref="O21" si="15">SUM(O22,O30)</f>
        <v>540000</v>
      </c>
    </row>
    <row r="22" spans="1:15" s="2" customFormat="1" ht="25.5">
      <c r="A22" s="9" t="s">
        <v>18</v>
      </c>
      <c r="B22" s="11" t="s">
        <v>61</v>
      </c>
      <c r="C22" s="25">
        <f t="shared" ref="C22:N22" si="16">SUM(C23:C29)</f>
        <v>2299000</v>
      </c>
      <c r="D22" s="25">
        <f t="shared" si="16"/>
        <v>701772</v>
      </c>
      <c r="E22" s="25">
        <f t="shared" si="16"/>
        <v>1080325</v>
      </c>
      <c r="F22" s="25">
        <f t="shared" si="16"/>
        <v>90000</v>
      </c>
      <c r="G22" s="25">
        <f t="shared" si="16"/>
        <v>200000</v>
      </c>
      <c r="H22" s="25">
        <f t="shared" si="16"/>
        <v>500000</v>
      </c>
      <c r="I22" s="25">
        <f t="shared" si="16"/>
        <v>1300000</v>
      </c>
      <c r="J22" s="25">
        <f t="shared" si="16"/>
        <v>1300000</v>
      </c>
      <c r="K22" s="25">
        <f t="shared" si="16"/>
        <v>1200000</v>
      </c>
      <c r="L22" s="25">
        <f t="shared" si="16"/>
        <v>1300000</v>
      </c>
      <c r="M22" s="25">
        <f t="shared" si="16"/>
        <v>1100000</v>
      </c>
      <c r="N22" s="25">
        <f t="shared" si="16"/>
        <v>530000</v>
      </c>
      <c r="O22" s="25">
        <f t="shared" ref="O22" si="17">SUM(O23:O29)</f>
        <v>510000</v>
      </c>
    </row>
    <row r="23" spans="1:15" s="37" customFormat="1" ht="11.25" hidden="1">
      <c r="A23" s="34"/>
      <c r="B23" s="35" t="s">
        <v>111</v>
      </c>
      <c r="C23" s="36">
        <v>84000</v>
      </c>
      <c r="D23" s="36">
        <v>34772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37" customFormat="1" ht="11.25" hidden="1">
      <c r="A24" s="38"/>
      <c r="B24" s="35" t="s">
        <v>112</v>
      </c>
      <c r="C24" s="36">
        <v>185000</v>
      </c>
      <c r="D24" s="36">
        <v>167000</v>
      </c>
      <c r="E24" s="36">
        <v>80325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s="37" customFormat="1" ht="11.25" hidden="1">
      <c r="A25" s="38"/>
      <c r="B25" s="35" t="s">
        <v>113</v>
      </c>
      <c r="C25" s="36">
        <v>400000</v>
      </c>
      <c r="D25" s="36">
        <v>200000</v>
      </c>
      <c r="E25" s="36">
        <v>400000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36"/>
    </row>
    <row r="26" spans="1:15" s="37" customFormat="1" ht="11.25" hidden="1">
      <c r="A26" s="38"/>
      <c r="B26" s="35" t="s">
        <v>114</v>
      </c>
      <c r="C26" s="36">
        <v>400000</v>
      </c>
      <c r="D26" s="36">
        <v>300000</v>
      </c>
      <c r="E26" s="36">
        <v>600000</v>
      </c>
      <c r="F26" s="36">
        <v>0</v>
      </c>
      <c r="G26" s="36">
        <v>0</v>
      </c>
      <c r="H26" s="36">
        <v>0</v>
      </c>
      <c r="I26" s="36">
        <v>600000</v>
      </c>
      <c r="J26" s="36">
        <v>600000</v>
      </c>
      <c r="K26" s="36">
        <v>600000</v>
      </c>
      <c r="L26" s="36">
        <v>600000</v>
      </c>
      <c r="M26" s="36">
        <v>600000</v>
      </c>
      <c r="N26" s="36"/>
      <c r="O26" s="36"/>
    </row>
    <row r="27" spans="1:15" s="37" customFormat="1" ht="11.25" hidden="1">
      <c r="A27" s="38"/>
      <c r="B27" s="35" t="s">
        <v>129</v>
      </c>
      <c r="C27" s="36">
        <v>1230000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s="37" customFormat="1" ht="11.25" hidden="1">
      <c r="A28" s="38"/>
      <c r="B28" s="35" t="s">
        <v>126</v>
      </c>
      <c r="C28" s="36">
        <v>0</v>
      </c>
      <c r="D28" s="36">
        <v>0</v>
      </c>
      <c r="E28" s="36">
        <v>0</v>
      </c>
      <c r="F28" s="36">
        <v>90000</v>
      </c>
      <c r="G28" s="36">
        <v>100000</v>
      </c>
      <c r="H28" s="36">
        <v>400000</v>
      </c>
      <c r="I28" s="36">
        <v>600000</v>
      </c>
      <c r="J28" s="36">
        <v>600000</v>
      </c>
      <c r="K28" s="36">
        <v>600000</v>
      </c>
      <c r="L28" s="36">
        <v>700000</v>
      </c>
      <c r="M28" s="36">
        <v>500000</v>
      </c>
      <c r="N28" s="36">
        <v>530000</v>
      </c>
      <c r="O28" s="36">
        <v>510000</v>
      </c>
    </row>
    <row r="29" spans="1:15" s="37" customFormat="1" ht="11.25" hidden="1">
      <c r="A29" s="38"/>
      <c r="B29" s="35" t="s">
        <v>127</v>
      </c>
      <c r="C29" s="36"/>
      <c r="D29" s="36"/>
      <c r="E29" s="36"/>
      <c r="F29" s="36"/>
      <c r="G29" s="36">
        <v>100000</v>
      </c>
      <c r="H29" s="36">
        <v>100000</v>
      </c>
      <c r="I29" s="36">
        <v>100000</v>
      </c>
      <c r="J29" s="36">
        <v>100000</v>
      </c>
      <c r="K29" s="36"/>
      <c r="L29" s="36"/>
      <c r="M29" s="36"/>
      <c r="N29" s="36"/>
      <c r="O29" s="36"/>
    </row>
    <row r="30" spans="1:15" s="2" customFormat="1">
      <c r="A30" s="9" t="s">
        <v>19</v>
      </c>
      <c r="B30" s="11" t="s">
        <v>16</v>
      </c>
      <c r="C30" s="25">
        <f>SUM(C31:C37)</f>
        <v>394500</v>
      </c>
      <c r="D30" s="25">
        <f>SUM(D31:D37)</f>
        <v>489674</v>
      </c>
      <c r="E30" s="25">
        <f>SUM(E31:E37)</f>
        <v>467900</v>
      </c>
      <c r="F30" s="25">
        <f>SUM(F31:F37)</f>
        <v>416000</v>
      </c>
      <c r="G30" s="25">
        <f>SUM(G31:G37)</f>
        <v>411000</v>
      </c>
      <c r="H30" s="25">
        <f t="shared" ref="H30:M30" si="18">SUM(H31:H37)</f>
        <v>401000</v>
      </c>
      <c r="I30" s="25">
        <f t="shared" si="18"/>
        <v>374000</v>
      </c>
      <c r="J30" s="25">
        <f t="shared" si="18"/>
        <v>302000</v>
      </c>
      <c r="K30" s="25">
        <f t="shared" si="18"/>
        <v>231000</v>
      </c>
      <c r="L30" s="25">
        <f t="shared" si="18"/>
        <v>165000</v>
      </c>
      <c r="M30" s="25">
        <f t="shared" si="18"/>
        <v>92000</v>
      </c>
      <c r="N30" s="25">
        <f t="shared" ref="N30:O30" si="19">SUM(N31:N37)</f>
        <v>30000</v>
      </c>
      <c r="O30" s="25">
        <f t="shared" si="19"/>
        <v>30000</v>
      </c>
    </row>
    <row r="31" spans="1:15" s="37" customFormat="1" ht="11.25" hidden="1">
      <c r="A31" s="34"/>
      <c r="B31" s="35" t="s">
        <v>111</v>
      </c>
      <c r="C31" s="36">
        <v>1500</v>
      </c>
      <c r="D31" s="36">
        <v>174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s="37" customFormat="1" ht="11.25" hidden="1">
      <c r="A32" s="39"/>
      <c r="B32" s="35" t="s">
        <v>112</v>
      </c>
      <c r="C32" s="36">
        <v>15000</v>
      </c>
      <c r="D32" s="36">
        <v>13500</v>
      </c>
      <c r="E32" s="36">
        <v>1900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s="37" customFormat="1" ht="11.25" hidden="1">
      <c r="A33" s="39"/>
      <c r="B33" s="35" t="s">
        <v>113</v>
      </c>
      <c r="C33" s="36">
        <v>63000</v>
      </c>
      <c r="D33" s="36">
        <v>26000</v>
      </c>
      <c r="E33" s="36">
        <v>12000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s="37" customFormat="1" ht="11.25" hidden="1">
      <c r="A34" s="38"/>
      <c r="B34" s="35" t="s">
        <v>114</v>
      </c>
      <c r="C34" s="36">
        <v>243000</v>
      </c>
      <c r="D34" s="36">
        <v>220000</v>
      </c>
      <c r="E34" s="36">
        <v>202000</v>
      </c>
      <c r="F34" s="36">
        <v>166000</v>
      </c>
      <c r="G34" s="36">
        <v>166000</v>
      </c>
      <c r="H34" s="36">
        <v>166000</v>
      </c>
      <c r="I34" s="36">
        <v>166000</v>
      </c>
      <c r="J34" s="36">
        <v>133000</v>
      </c>
      <c r="K34" s="36">
        <v>101000</v>
      </c>
      <c r="L34" s="36">
        <v>68000</v>
      </c>
      <c r="M34" s="36">
        <v>35000</v>
      </c>
      <c r="N34" s="36">
        <v>0</v>
      </c>
      <c r="O34" s="36">
        <v>0</v>
      </c>
    </row>
    <row r="35" spans="1:15" s="37" customFormat="1" ht="11.25" hidden="1">
      <c r="A35" s="38"/>
      <c r="B35" s="35" t="s">
        <v>125</v>
      </c>
      <c r="C35" s="36">
        <v>57000</v>
      </c>
      <c r="D35" s="36">
        <v>230000</v>
      </c>
      <c r="E35" s="36">
        <v>230000</v>
      </c>
      <c r="F35" s="36">
        <v>230000</v>
      </c>
      <c r="G35" s="36">
        <v>225000</v>
      </c>
      <c r="H35" s="36">
        <v>220000</v>
      </c>
      <c r="I35" s="36">
        <v>198000</v>
      </c>
      <c r="J35" s="36">
        <v>164000</v>
      </c>
      <c r="K35" s="36">
        <v>130000</v>
      </c>
      <c r="L35" s="36">
        <v>97000</v>
      </c>
      <c r="M35" s="36">
        <v>57000</v>
      </c>
      <c r="N35" s="36">
        <v>30000</v>
      </c>
      <c r="O35" s="36">
        <v>30000</v>
      </c>
    </row>
    <row r="36" spans="1:15" s="37" customFormat="1" ht="11.25" hidden="1">
      <c r="A36" s="38"/>
      <c r="B36" s="35" t="s">
        <v>127</v>
      </c>
      <c r="C36" s="36"/>
      <c r="D36" s="36"/>
      <c r="E36" s="36">
        <v>22000</v>
      </c>
      <c r="F36" s="36">
        <v>20000</v>
      </c>
      <c r="G36" s="36">
        <v>20000</v>
      </c>
      <c r="H36" s="36">
        <v>15000</v>
      </c>
      <c r="I36" s="36">
        <v>10000</v>
      </c>
      <c r="J36" s="36">
        <v>5000</v>
      </c>
      <c r="K36" s="36"/>
      <c r="L36" s="36"/>
      <c r="M36" s="36"/>
      <c r="N36" s="36"/>
      <c r="O36" s="36"/>
    </row>
    <row r="37" spans="1:15" s="37" customFormat="1" ht="11.25" hidden="1">
      <c r="A37" s="38"/>
      <c r="B37" s="35" t="s">
        <v>115</v>
      </c>
      <c r="C37" s="36">
        <v>15000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s="2" customFormat="1">
      <c r="A38" s="7" t="s">
        <v>41</v>
      </c>
      <c r="B38" s="18" t="s">
        <v>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</row>
    <row r="39" spans="1:15" s="2" customFormat="1">
      <c r="A39" s="7" t="s">
        <v>42</v>
      </c>
      <c r="B39" s="18" t="s">
        <v>4</v>
      </c>
      <c r="C39" s="30">
        <f t="shared" ref="C39:N39" si="20">C20-C21-C38</f>
        <v>8448247</v>
      </c>
      <c r="D39" s="30">
        <f t="shared" si="20"/>
        <v>2648523</v>
      </c>
      <c r="E39" s="30">
        <f t="shared" si="20"/>
        <v>1805742.0700000003</v>
      </c>
      <c r="F39" s="30">
        <f t="shared" si="20"/>
        <v>1606235.3121000007</v>
      </c>
      <c r="G39" s="30">
        <f t="shared" si="20"/>
        <v>1555602.3714630008</v>
      </c>
      <c r="H39" s="30">
        <f t="shared" si="20"/>
        <v>1321600.4426068906</v>
      </c>
      <c r="I39" s="30">
        <f t="shared" si="20"/>
        <v>606278.45588509738</v>
      </c>
      <c r="J39" s="30">
        <f t="shared" si="20"/>
        <v>737686.80956164934</v>
      </c>
      <c r="K39" s="30">
        <f t="shared" si="20"/>
        <v>969877.41384849884</v>
      </c>
      <c r="L39" s="30">
        <f t="shared" si="20"/>
        <v>998903.73626395501</v>
      </c>
      <c r="M39" s="30">
        <f t="shared" si="20"/>
        <v>1336820.8483518735</v>
      </c>
      <c r="N39" s="30">
        <f t="shared" si="20"/>
        <v>2035685.4738024324</v>
      </c>
      <c r="O39" s="30">
        <f t="shared" ref="O39" si="21">O20-O21-O38</f>
        <v>2124556.0380165055</v>
      </c>
    </row>
    <row r="40" spans="1:15" s="2" customFormat="1">
      <c r="A40" s="7" t="s">
        <v>21</v>
      </c>
      <c r="B40" s="23" t="s">
        <v>93</v>
      </c>
      <c r="C40" s="31">
        <v>13078247</v>
      </c>
      <c r="D40" s="31">
        <v>3048523</v>
      </c>
      <c r="E40" s="31">
        <v>1805742</v>
      </c>
      <c r="F40" s="31">
        <f>F39</f>
        <v>1606235.3121000007</v>
      </c>
      <c r="G40" s="31">
        <f t="shared" ref="G40:M40" si="22">G39</f>
        <v>1555602.3714630008</v>
      </c>
      <c r="H40" s="31">
        <f t="shared" si="22"/>
        <v>1321600.4426068906</v>
      </c>
      <c r="I40" s="31">
        <f t="shared" si="22"/>
        <v>606278.45588509738</v>
      </c>
      <c r="J40" s="31">
        <f t="shared" si="22"/>
        <v>737686.80956164934</v>
      </c>
      <c r="K40" s="31">
        <f t="shared" si="22"/>
        <v>969877.41384849884</v>
      </c>
      <c r="L40" s="31">
        <f t="shared" si="22"/>
        <v>998903.73626395501</v>
      </c>
      <c r="M40" s="31">
        <f t="shared" si="22"/>
        <v>1336820.8483518735</v>
      </c>
      <c r="N40" s="31">
        <f t="shared" ref="N40:O40" si="23">N39</f>
        <v>2035685.4738024324</v>
      </c>
      <c r="O40" s="31">
        <f t="shared" si="23"/>
        <v>2124556.0380165055</v>
      </c>
    </row>
    <row r="41" spans="1:15" s="2" customFormat="1">
      <c r="A41" s="9" t="s">
        <v>22</v>
      </c>
      <c r="B41" s="24" t="s">
        <v>17</v>
      </c>
      <c r="C41" s="31">
        <v>8247830</v>
      </c>
      <c r="D41" s="31">
        <v>3048523</v>
      </c>
      <c r="E41" s="31">
        <v>1754242</v>
      </c>
      <c r="F41" s="31">
        <v>10000</v>
      </c>
      <c r="G41" s="31">
        <v>10000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</row>
    <row r="42" spans="1:15" s="2" customFormat="1">
      <c r="A42" s="7" t="s">
        <v>23</v>
      </c>
      <c r="B42" s="23" t="s">
        <v>94</v>
      </c>
      <c r="C42" s="25">
        <v>4630000</v>
      </c>
      <c r="D42" s="25">
        <v>400000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s="2" customFormat="1">
      <c r="A43" s="7" t="s">
        <v>24</v>
      </c>
      <c r="B43" s="8" t="s">
        <v>95</v>
      </c>
      <c r="C43" s="26">
        <f>C39-C40+C42</f>
        <v>0</v>
      </c>
      <c r="D43" s="26">
        <f t="shared" ref="D43:G43" si="24">D39-D40+D42</f>
        <v>0</v>
      </c>
      <c r="E43" s="26">
        <f t="shared" si="24"/>
        <v>7.0000000298023224E-2</v>
      </c>
      <c r="F43" s="26">
        <f t="shared" si="24"/>
        <v>0</v>
      </c>
      <c r="G43" s="26">
        <f t="shared" si="24"/>
        <v>0</v>
      </c>
      <c r="H43" s="26">
        <f t="shared" ref="H43:M43" si="25">H39-H40+H42</f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ref="N43:O43" si="26">N39-N40+N42</f>
        <v>0</v>
      </c>
      <c r="O43" s="26">
        <f t="shared" si="26"/>
        <v>0</v>
      </c>
    </row>
    <row r="44" spans="1:15" s="2" customFormat="1">
      <c r="A44" s="12" t="s">
        <v>5</v>
      </c>
      <c r="B44" s="13" t="s">
        <v>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2" customFormat="1">
      <c r="A45" s="7" t="s">
        <v>25</v>
      </c>
      <c r="B45" s="8" t="s">
        <v>96</v>
      </c>
      <c r="C45" s="25">
        <f>4782097+C42</f>
        <v>9412097</v>
      </c>
      <c r="D45" s="25">
        <f t="shared" ref="D45:O45" si="27">C45-D22+D42</f>
        <v>9110325</v>
      </c>
      <c r="E45" s="25">
        <f t="shared" si="27"/>
        <v>8030000</v>
      </c>
      <c r="F45" s="25">
        <f t="shared" si="27"/>
        <v>7940000</v>
      </c>
      <c r="G45" s="25">
        <f t="shared" si="27"/>
        <v>7740000</v>
      </c>
      <c r="H45" s="25">
        <f t="shared" si="27"/>
        <v>7240000</v>
      </c>
      <c r="I45" s="25">
        <f t="shared" si="27"/>
        <v>5940000</v>
      </c>
      <c r="J45" s="25">
        <f t="shared" si="27"/>
        <v>4640000</v>
      </c>
      <c r="K45" s="25">
        <f t="shared" si="27"/>
        <v>3440000</v>
      </c>
      <c r="L45" s="25">
        <f t="shared" si="27"/>
        <v>2140000</v>
      </c>
      <c r="M45" s="25">
        <f t="shared" si="27"/>
        <v>1040000</v>
      </c>
      <c r="N45" s="25">
        <f t="shared" si="27"/>
        <v>510000</v>
      </c>
      <c r="O45" s="25">
        <f t="shared" si="27"/>
        <v>0</v>
      </c>
    </row>
    <row r="46" spans="1:15" s="46" customFormat="1" ht="27">
      <c r="A46" s="49" t="s">
        <v>18</v>
      </c>
      <c r="B46" s="48" t="s">
        <v>128</v>
      </c>
      <c r="C46" s="47">
        <v>2179658</v>
      </c>
      <c r="D46" s="47">
        <v>390250</v>
      </c>
      <c r="E46" s="47">
        <v>390250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</row>
    <row r="47" spans="1:15" s="2" customFormat="1" ht="25.5">
      <c r="A47" s="9" t="s">
        <v>19</v>
      </c>
      <c r="B47" s="11" t="s">
        <v>62</v>
      </c>
      <c r="C47" s="25">
        <v>2179658</v>
      </c>
      <c r="D47" s="25">
        <v>33250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s="2" customFormat="1" ht="39.75">
      <c r="A48" s="7" t="s">
        <v>6</v>
      </c>
      <c r="B48" s="8" t="s">
        <v>97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s="2" customFormat="1">
      <c r="A49" s="7" t="s">
        <v>7</v>
      </c>
      <c r="B49" s="8" t="s">
        <v>98</v>
      </c>
      <c r="C49" s="42">
        <f>C21/C6</f>
        <v>0.13052329544014554</v>
      </c>
      <c r="D49" s="42">
        <f t="shared" ref="D49:G49" si="28">D21/D6</f>
        <v>7.116509377613188E-2</v>
      </c>
      <c r="E49" s="42">
        <f t="shared" si="28"/>
        <v>9.3025266569084442E-2</v>
      </c>
      <c r="F49" s="42">
        <f t="shared" si="28"/>
        <v>3.2025316455696201E-2</v>
      </c>
      <c r="G49" s="42">
        <f t="shared" si="28"/>
        <v>3.7565324316015988E-2</v>
      </c>
      <c r="H49" s="42">
        <f t="shared" ref="H49:M49" si="29">H21/H6</f>
        <v>5.381048080052795E-2</v>
      </c>
      <c r="I49" s="42">
        <f t="shared" si="29"/>
        <v>9.711515487503139E-2</v>
      </c>
      <c r="J49" s="42">
        <f t="shared" si="29"/>
        <v>9.027698523414894E-2</v>
      </c>
      <c r="K49" s="42">
        <f t="shared" si="29"/>
        <v>7.8330490306242173E-2</v>
      </c>
      <c r="L49" s="42">
        <f t="shared" si="29"/>
        <v>7.7893170632845107E-2</v>
      </c>
      <c r="M49" s="42">
        <f t="shared" si="29"/>
        <v>6.1560565773045826E-2</v>
      </c>
      <c r="N49" s="42">
        <f t="shared" ref="N49:O49" si="30">N21/N6</f>
        <v>2.8091386531357624E-2</v>
      </c>
      <c r="O49" s="42">
        <f t="shared" si="30"/>
        <v>2.6310680753223983E-2</v>
      </c>
    </row>
    <row r="50" spans="1:15" s="2" customFormat="1" ht="18.75" customHeight="1">
      <c r="A50" s="9" t="s">
        <v>18</v>
      </c>
      <c r="B50" s="11" t="s">
        <v>99</v>
      </c>
      <c r="C50" s="42">
        <f>SUM(Arkusz2!C8:E8)/3</f>
        <v>3.3079221695692933E-2</v>
      </c>
      <c r="D50" s="42">
        <f>(SUM(Arkusz2!D8:E8)+((C7+C9-C54)/C6))/3</f>
        <v>-2.3469047826266479E-4</v>
      </c>
      <c r="E50" s="42">
        <f>(Arkusz2!E8+((C7+C9-C54)/C6)+((D7+D9-D54)/D6))/3</f>
        <v>6.8551568647306571E-3</v>
      </c>
      <c r="F50" s="42">
        <f t="shared" ref="F50:O50" si="31">((C7+C9-C54)/C6+(D7+D9-D54)/D6+(E7+E9-E54)/E6)/3</f>
        <v>4.9713941336827459E-2</v>
      </c>
      <c r="G50" s="42">
        <f t="shared" si="31"/>
        <v>7.7928773792800277E-2</v>
      </c>
      <c r="H50" s="42">
        <f t="shared" si="31"/>
        <v>9.9805760367474225E-2</v>
      </c>
      <c r="I50" s="42">
        <f t="shared" si="31"/>
        <v>0.10802855329109122</v>
      </c>
      <c r="J50" s="42">
        <f t="shared" si="31"/>
        <v>0.10910650425243633</v>
      </c>
      <c r="K50" s="42">
        <f t="shared" si="31"/>
        <v>0.11140372689424727</v>
      </c>
      <c r="L50" s="42">
        <f t="shared" si="31"/>
        <v>0.11473166522156188</v>
      </c>
      <c r="M50" s="42">
        <f t="shared" si="31"/>
        <v>0.11861193639887745</v>
      </c>
      <c r="N50" s="42">
        <f t="shared" si="31"/>
        <v>0.12228525297347946</v>
      </c>
      <c r="O50" s="42">
        <f t="shared" si="31"/>
        <v>0.12559445078354867</v>
      </c>
    </row>
    <row r="51" spans="1:15" s="2" customFormat="1" ht="30.75" customHeight="1">
      <c r="A51" s="7" t="s">
        <v>26</v>
      </c>
      <c r="B51" s="8" t="s">
        <v>100</v>
      </c>
      <c r="C51" s="25" t="str">
        <f>IF(C49&lt;=C50,"Zgodny z art. 243","Niezgodny z art. 243")</f>
        <v>Niezgodny z art. 243</v>
      </c>
      <c r="D51" s="25" t="str">
        <f t="shared" ref="D51:M51" si="32">IF(D49&lt;=D50,"Zgodny z art. 243","Niezgodny z art. 243")</f>
        <v>Niezgodny z art. 243</v>
      </c>
      <c r="E51" s="25" t="str">
        <f t="shared" si="32"/>
        <v>Niezgodny z art. 243</v>
      </c>
      <c r="F51" s="25" t="str">
        <f t="shared" si="32"/>
        <v>Zgodny z art. 243</v>
      </c>
      <c r="G51" s="25" t="str">
        <f t="shared" si="32"/>
        <v>Zgodny z art. 243</v>
      </c>
      <c r="H51" s="25" t="str">
        <f t="shared" si="32"/>
        <v>Zgodny z art. 243</v>
      </c>
      <c r="I51" s="25" t="str">
        <f t="shared" si="32"/>
        <v>Zgodny z art. 243</v>
      </c>
      <c r="J51" s="25" t="str">
        <f t="shared" si="32"/>
        <v>Zgodny z art. 243</v>
      </c>
      <c r="K51" s="25" t="str">
        <f t="shared" si="32"/>
        <v>Zgodny z art. 243</v>
      </c>
      <c r="L51" s="25" t="str">
        <f t="shared" si="32"/>
        <v>Zgodny z art. 243</v>
      </c>
      <c r="M51" s="25" t="str">
        <f t="shared" si="32"/>
        <v>Zgodny z art. 243</v>
      </c>
      <c r="N51" s="25" t="str">
        <f t="shared" ref="N51:O51" si="33">IF(N49&lt;=N50,"Zgodny z art. 243","Niezgodny z art. 243")</f>
        <v>Zgodny z art. 243</v>
      </c>
      <c r="O51" s="25" t="str">
        <f t="shared" si="33"/>
        <v>Zgodny z art. 243</v>
      </c>
    </row>
    <row r="52" spans="1:15" s="2" customFormat="1" ht="27">
      <c r="A52" s="7" t="s">
        <v>27</v>
      </c>
      <c r="B52" s="8" t="s">
        <v>101</v>
      </c>
      <c r="C52" s="41">
        <f>(C21-C47)/C6</f>
        <v>2.4900074689272418E-2</v>
      </c>
      <c r="D52" s="41">
        <f>(D21-D47)/D6</f>
        <v>6.9179070600884005E-2</v>
      </c>
      <c r="E52" s="41">
        <f>(E21-E47)/E6</f>
        <v>9.3025266569084442E-2</v>
      </c>
      <c r="F52" s="33" t="s">
        <v>110</v>
      </c>
      <c r="G52" s="33" t="s">
        <v>110</v>
      </c>
      <c r="H52" s="33" t="s">
        <v>110</v>
      </c>
      <c r="I52" s="33" t="s">
        <v>110</v>
      </c>
      <c r="J52" s="33" t="s">
        <v>110</v>
      </c>
      <c r="K52" s="33" t="s">
        <v>110</v>
      </c>
      <c r="L52" s="33" t="s">
        <v>110</v>
      </c>
      <c r="M52" s="33" t="s">
        <v>110</v>
      </c>
      <c r="N52" s="33" t="s">
        <v>110</v>
      </c>
      <c r="O52" s="33" t="s">
        <v>110</v>
      </c>
    </row>
    <row r="53" spans="1:15" s="2" customFormat="1" ht="27">
      <c r="A53" s="7" t="s">
        <v>28</v>
      </c>
      <c r="B53" s="8" t="s">
        <v>102</v>
      </c>
      <c r="C53" s="41">
        <f>(C45-C46)/C6</f>
        <v>0.35047401980687981</v>
      </c>
      <c r="D53" s="41">
        <f>(D45-D46)/D6</f>
        <v>0.52085025683908737</v>
      </c>
      <c r="E53" s="41">
        <f>(E45-E46)/E6</f>
        <v>0.45903520500648348</v>
      </c>
      <c r="F53" s="33" t="s">
        <v>110</v>
      </c>
      <c r="G53" s="33" t="s">
        <v>110</v>
      </c>
      <c r="H53" s="33" t="s">
        <v>110</v>
      </c>
      <c r="I53" s="33" t="s">
        <v>110</v>
      </c>
      <c r="J53" s="33" t="s">
        <v>110</v>
      </c>
      <c r="K53" s="33" t="s">
        <v>110</v>
      </c>
      <c r="L53" s="33" t="s">
        <v>110</v>
      </c>
      <c r="M53" s="33" t="s">
        <v>110</v>
      </c>
      <c r="N53" s="33" t="s">
        <v>110</v>
      </c>
      <c r="O53" s="33" t="s">
        <v>110</v>
      </c>
    </row>
    <row r="54" spans="1:15" s="2" customFormat="1">
      <c r="A54" s="7" t="s">
        <v>29</v>
      </c>
      <c r="B54" s="8" t="s">
        <v>8</v>
      </c>
      <c r="C54" s="26">
        <f t="shared" ref="C54:N54" si="34">C10+C30</f>
        <v>13023308</v>
      </c>
      <c r="D54" s="26">
        <f t="shared" si="34"/>
        <v>13391705</v>
      </c>
      <c r="E54" s="26">
        <f t="shared" si="34"/>
        <v>13756991.93</v>
      </c>
      <c r="F54" s="26">
        <f t="shared" si="34"/>
        <v>14103764.687899999</v>
      </c>
      <c r="G54" s="26">
        <f t="shared" si="34"/>
        <v>14509397.628536999</v>
      </c>
      <c r="H54" s="26">
        <f t="shared" si="34"/>
        <v>14922349.557393109</v>
      </c>
      <c r="I54" s="26">
        <f t="shared" si="34"/>
        <v>15330990.044114903</v>
      </c>
      <c r="J54" s="26">
        <f t="shared" si="34"/>
        <v>15707699.74543835</v>
      </c>
      <c r="K54" s="26">
        <f t="shared" si="34"/>
        <v>16098870.737801502</v>
      </c>
      <c r="L54" s="26">
        <f t="shared" si="34"/>
        <v>16508906.859935546</v>
      </c>
      <c r="M54" s="26">
        <f t="shared" si="34"/>
        <v>16926224.065733612</v>
      </c>
      <c r="N54" s="26">
        <f t="shared" si="34"/>
        <v>17369250.787705619</v>
      </c>
      <c r="O54" s="26">
        <f t="shared" ref="O54" si="35">O10+O30</f>
        <v>17889428.311336789</v>
      </c>
    </row>
    <row r="55" spans="1:15" s="2" customFormat="1">
      <c r="A55" s="7" t="s">
        <v>30</v>
      </c>
      <c r="B55" s="8" t="s">
        <v>9</v>
      </c>
      <c r="C55" s="26">
        <f>C40+C54</f>
        <v>26101555</v>
      </c>
      <c r="D55" s="26">
        <f t="shared" ref="D55:G55" si="36">D40+D54</f>
        <v>16440228</v>
      </c>
      <c r="E55" s="26">
        <f t="shared" si="36"/>
        <v>15562733.93</v>
      </c>
      <c r="F55" s="26">
        <f t="shared" si="36"/>
        <v>15710000</v>
      </c>
      <c r="G55" s="26">
        <f t="shared" si="36"/>
        <v>16065000</v>
      </c>
      <c r="H55" s="26">
        <f t="shared" ref="H55:M55" si="37">H40+H54</f>
        <v>16243950</v>
      </c>
      <c r="I55" s="26">
        <f t="shared" si="37"/>
        <v>15937268.5</v>
      </c>
      <c r="J55" s="26">
        <f t="shared" si="37"/>
        <v>16445386.555</v>
      </c>
      <c r="K55" s="26">
        <f t="shared" si="37"/>
        <v>17068748.15165</v>
      </c>
      <c r="L55" s="26">
        <f t="shared" si="37"/>
        <v>17507810.596199501</v>
      </c>
      <c r="M55" s="26">
        <f t="shared" si="37"/>
        <v>18263044.914085485</v>
      </c>
      <c r="N55" s="26">
        <f t="shared" ref="N55:O55" si="38">N40+N54</f>
        <v>19404936.261508051</v>
      </c>
      <c r="O55" s="26">
        <f t="shared" si="38"/>
        <v>20013984.349353295</v>
      </c>
    </row>
    <row r="56" spans="1:15" s="2" customFormat="1">
      <c r="A56" s="7" t="s">
        <v>31</v>
      </c>
      <c r="B56" s="8" t="s">
        <v>10</v>
      </c>
      <c r="C56" s="26">
        <f t="shared" ref="C56:N56" si="39">C6-C55</f>
        <v>-5465392</v>
      </c>
      <c r="D56" s="26">
        <f t="shared" si="39"/>
        <v>301772</v>
      </c>
      <c r="E56" s="26">
        <f t="shared" si="39"/>
        <v>1080325.0700000003</v>
      </c>
      <c r="F56" s="26">
        <f t="shared" si="39"/>
        <v>90000</v>
      </c>
      <c r="G56" s="26">
        <f t="shared" si="39"/>
        <v>200000</v>
      </c>
      <c r="H56" s="26">
        <f t="shared" si="39"/>
        <v>500000</v>
      </c>
      <c r="I56" s="26">
        <f t="shared" si="39"/>
        <v>1300000</v>
      </c>
      <c r="J56" s="26">
        <f t="shared" si="39"/>
        <v>1300000</v>
      </c>
      <c r="K56" s="26">
        <f t="shared" si="39"/>
        <v>1200000</v>
      </c>
      <c r="L56" s="26">
        <f t="shared" si="39"/>
        <v>1300000</v>
      </c>
      <c r="M56" s="26">
        <f t="shared" si="39"/>
        <v>1100000</v>
      </c>
      <c r="N56" s="26">
        <f t="shared" si="39"/>
        <v>530000</v>
      </c>
      <c r="O56" s="26">
        <f t="shared" ref="O56" si="40">O6-O55</f>
        <v>510000</v>
      </c>
    </row>
    <row r="57" spans="1:15" s="2" customFormat="1">
      <c r="A57" s="7" t="s">
        <v>32</v>
      </c>
      <c r="B57" s="8" t="s">
        <v>11</v>
      </c>
      <c r="C57" s="26">
        <f>C42+C19+C17</f>
        <v>7764392</v>
      </c>
      <c r="D57" s="26">
        <v>400000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</row>
    <row r="58" spans="1:15" s="2" customFormat="1">
      <c r="A58" s="7" t="s">
        <v>33</v>
      </c>
      <c r="B58" s="8" t="s">
        <v>12</v>
      </c>
      <c r="C58" s="26">
        <f t="shared" ref="C58:N58" si="41">C22+C38</f>
        <v>2299000</v>
      </c>
      <c r="D58" s="26">
        <f t="shared" si="41"/>
        <v>701772</v>
      </c>
      <c r="E58" s="26">
        <f t="shared" si="41"/>
        <v>1080325</v>
      </c>
      <c r="F58" s="26">
        <f t="shared" si="41"/>
        <v>90000</v>
      </c>
      <c r="G58" s="26">
        <f t="shared" si="41"/>
        <v>200000</v>
      </c>
      <c r="H58" s="26">
        <f t="shared" si="41"/>
        <v>500000</v>
      </c>
      <c r="I58" s="26">
        <f t="shared" si="41"/>
        <v>1300000</v>
      </c>
      <c r="J58" s="26">
        <f t="shared" si="41"/>
        <v>1300000</v>
      </c>
      <c r="K58" s="26">
        <f t="shared" si="41"/>
        <v>1200000</v>
      </c>
      <c r="L58" s="26">
        <f t="shared" si="41"/>
        <v>1300000</v>
      </c>
      <c r="M58" s="26">
        <f t="shared" si="41"/>
        <v>1100000</v>
      </c>
      <c r="N58" s="26">
        <f t="shared" si="41"/>
        <v>530000</v>
      </c>
      <c r="O58" s="26">
        <f t="shared" ref="O58" si="42">O22+O38</f>
        <v>510000</v>
      </c>
    </row>
    <row r="59" spans="1:15">
      <c r="C59" s="44">
        <f>C56+C57-C58</f>
        <v>0</v>
      </c>
      <c r="D59" s="44">
        <f t="shared" ref="D59:O59" si="43">D56+D57-D58</f>
        <v>0</v>
      </c>
      <c r="E59" s="44">
        <f t="shared" si="43"/>
        <v>7.0000000298023224E-2</v>
      </c>
      <c r="F59" s="44">
        <f t="shared" si="43"/>
        <v>0</v>
      </c>
      <c r="G59" s="44">
        <f t="shared" si="43"/>
        <v>0</v>
      </c>
      <c r="H59" s="44">
        <f t="shared" si="43"/>
        <v>0</v>
      </c>
      <c r="I59" s="44">
        <f t="shared" si="43"/>
        <v>0</v>
      </c>
      <c r="J59" s="44">
        <f t="shared" si="43"/>
        <v>0</v>
      </c>
      <c r="K59" s="44">
        <f t="shared" si="43"/>
        <v>0</v>
      </c>
      <c r="L59" s="44">
        <f t="shared" si="43"/>
        <v>0</v>
      </c>
      <c r="M59" s="44">
        <f t="shared" si="43"/>
        <v>0</v>
      </c>
      <c r="N59" s="44">
        <f t="shared" si="43"/>
        <v>0</v>
      </c>
      <c r="O59" s="44">
        <f t="shared" si="43"/>
        <v>0</v>
      </c>
    </row>
    <row r="60" spans="1:15" s="2" customFormat="1" ht="42.75" customHeight="1">
      <c r="A60" s="14" t="s">
        <v>43</v>
      </c>
      <c r="B60" s="51" t="s">
        <v>79</v>
      </c>
      <c r="C60" s="51"/>
      <c r="D60" s="51"/>
      <c r="E60" s="51"/>
      <c r="F60" s="51"/>
      <c r="G60" s="51"/>
      <c r="H60" s="51"/>
    </row>
    <row r="61" spans="1:15" s="2" customFormat="1" ht="16.5">
      <c r="A61" s="14" t="s">
        <v>44</v>
      </c>
      <c r="B61" s="51" t="s">
        <v>63</v>
      </c>
      <c r="C61" s="51"/>
      <c r="D61" s="51"/>
      <c r="E61" s="51"/>
      <c r="F61" s="51"/>
      <c r="G61" s="51"/>
      <c r="H61" s="51"/>
    </row>
    <row r="62" spans="1:15" s="2" customFormat="1" ht="15.75" customHeight="1">
      <c r="A62" s="14" t="s">
        <v>45</v>
      </c>
      <c r="B62" s="51" t="s">
        <v>67</v>
      </c>
      <c r="C62" s="51"/>
      <c r="D62" s="51"/>
      <c r="E62" s="51"/>
      <c r="F62" s="51"/>
      <c r="G62" s="51"/>
      <c r="H62" s="51"/>
    </row>
    <row r="63" spans="1:15" s="2" customFormat="1" ht="16.5">
      <c r="A63" s="14" t="s">
        <v>46</v>
      </c>
      <c r="B63" s="51" t="s">
        <v>68</v>
      </c>
      <c r="C63" s="51"/>
      <c r="D63" s="51"/>
      <c r="E63" s="51"/>
      <c r="F63" s="51"/>
      <c r="G63" s="51"/>
      <c r="H63" s="51"/>
    </row>
    <row r="64" spans="1:15" s="2" customFormat="1" ht="16.5">
      <c r="A64" s="14" t="s">
        <v>47</v>
      </c>
      <c r="B64" s="51" t="s">
        <v>69</v>
      </c>
      <c r="C64" s="51"/>
      <c r="D64" s="51"/>
      <c r="E64" s="51"/>
      <c r="F64" s="51"/>
      <c r="G64" s="51"/>
      <c r="H64" s="51"/>
    </row>
    <row r="65" spans="1:8" s="2" customFormat="1" ht="16.5">
      <c r="A65" s="14" t="s">
        <v>48</v>
      </c>
      <c r="B65" s="51" t="s">
        <v>64</v>
      </c>
      <c r="C65" s="51"/>
      <c r="D65" s="51"/>
      <c r="E65" s="51"/>
      <c r="F65" s="51"/>
      <c r="G65" s="51"/>
      <c r="H65" s="51"/>
    </row>
    <row r="66" spans="1:8" s="2" customFormat="1" ht="16.5">
      <c r="A66" s="14" t="s">
        <v>49</v>
      </c>
      <c r="B66" s="51" t="s">
        <v>70</v>
      </c>
      <c r="C66" s="51"/>
      <c r="D66" s="51"/>
      <c r="E66" s="51"/>
      <c r="F66" s="51"/>
      <c r="G66" s="51"/>
      <c r="H66" s="51"/>
    </row>
    <row r="67" spans="1:8" s="2" customFormat="1" ht="16.5">
      <c r="A67" s="14" t="s">
        <v>50</v>
      </c>
      <c r="B67" s="51" t="s">
        <v>71</v>
      </c>
      <c r="C67" s="51"/>
      <c r="D67" s="51"/>
      <c r="E67" s="51"/>
      <c r="F67" s="51"/>
      <c r="G67" s="51"/>
      <c r="H67" s="51"/>
    </row>
    <row r="68" spans="1:8" s="2" customFormat="1" ht="16.5">
      <c r="A68" s="14" t="s">
        <v>51</v>
      </c>
      <c r="B68" s="51" t="s">
        <v>72</v>
      </c>
      <c r="C68" s="51"/>
      <c r="D68" s="51"/>
      <c r="E68" s="51"/>
      <c r="F68" s="51"/>
      <c r="G68" s="51"/>
      <c r="H68" s="51"/>
    </row>
    <row r="69" spans="1:8" s="2" customFormat="1" ht="31.5" customHeight="1">
      <c r="A69" s="14" t="s">
        <v>52</v>
      </c>
      <c r="B69" s="51" t="s">
        <v>73</v>
      </c>
      <c r="C69" s="51"/>
      <c r="D69" s="51"/>
      <c r="E69" s="51"/>
      <c r="F69" s="51"/>
      <c r="G69" s="51"/>
      <c r="H69" s="51"/>
    </row>
    <row r="70" spans="1:8" s="2" customFormat="1" ht="43.5" customHeight="1">
      <c r="A70" s="14" t="s">
        <v>53</v>
      </c>
      <c r="B70" s="51" t="s">
        <v>80</v>
      </c>
      <c r="C70" s="51"/>
      <c r="D70" s="51"/>
      <c r="E70" s="51"/>
      <c r="F70" s="51"/>
      <c r="G70" s="51"/>
      <c r="H70" s="51"/>
    </row>
    <row r="71" spans="1:8" s="2" customFormat="1" ht="16.5">
      <c r="A71" s="14" t="s">
        <v>54</v>
      </c>
      <c r="B71" s="51" t="s">
        <v>74</v>
      </c>
      <c r="C71" s="51"/>
      <c r="D71" s="51"/>
      <c r="E71" s="51"/>
      <c r="F71" s="51"/>
      <c r="G71" s="51"/>
      <c r="H71" s="51"/>
    </row>
    <row r="72" spans="1:8" s="2" customFormat="1" ht="16.5">
      <c r="A72" s="14" t="s">
        <v>55</v>
      </c>
      <c r="B72" s="51" t="s">
        <v>65</v>
      </c>
      <c r="C72" s="51"/>
      <c r="D72" s="51"/>
      <c r="E72" s="51"/>
      <c r="F72" s="51"/>
      <c r="G72" s="51"/>
      <c r="H72" s="51"/>
    </row>
    <row r="73" spans="1:8" s="2" customFormat="1" ht="16.5">
      <c r="A73" s="14" t="s">
        <v>56</v>
      </c>
      <c r="B73" s="51" t="s">
        <v>75</v>
      </c>
      <c r="C73" s="51"/>
      <c r="D73" s="51"/>
      <c r="E73" s="51"/>
      <c r="F73" s="51"/>
      <c r="G73" s="51"/>
      <c r="H73" s="51"/>
    </row>
    <row r="74" spans="1:8" s="2" customFormat="1" ht="16.5">
      <c r="A74" s="14" t="s">
        <v>57</v>
      </c>
      <c r="B74" s="51" t="s">
        <v>76</v>
      </c>
      <c r="C74" s="51"/>
      <c r="D74" s="51"/>
      <c r="E74" s="51"/>
      <c r="F74" s="51"/>
      <c r="G74" s="51"/>
      <c r="H74" s="51"/>
    </row>
    <row r="75" spans="1:8" s="2" customFormat="1" ht="28.5" customHeight="1">
      <c r="A75" s="14" t="s">
        <v>58</v>
      </c>
      <c r="B75" s="51" t="s">
        <v>77</v>
      </c>
      <c r="C75" s="51"/>
      <c r="D75" s="51"/>
      <c r="E75" s="51"/>
      <c r="F75" s="51"/>
      <c r="G75" s="51"/>
      <c r="H75" s="51"/>
    </row>
    <row r="76" spans="1:8" s="2" customFormat="1" ht="16.5">
      <c r="A76" s="14" t="s">
        <v>59</v>
      </c>
      <c r="B76" s="51" t="s">
        <v>66</v>
      </c>
      <c r="C76" s="51"/>
      <c r="D76" s="51"/>
      <c r="E76" s="51"/>
      <c r="F76" s="51"/>
      <c r="G76" s="51"/>
      <c r="H76" s="51"/>
    </row>
    <row r="77" spans="1:8" s="2" customFormat="1" ht="16.5">
      <c r="A77" s="14" t="s">
        <v>60</v>
      </c>
      <c r="B77" s="51" t="s">
        <v>78</v>
      </c>
      <c r="C77" s="51"/>
      <c r="D77" s="51"/>
      <c r="E77" s="51"/>
      <c r="F77" s="51"/>
      <c r="G77" s="51"/>
      <c r="H77" s="51"/>
    </row>
    <row r="78" spans="1:8" s="2" customFormat="1">
      <c r="A78" s="15"/>
      <c r="B78" s="16"/>
      <c r="C78" s="17"/>
      <c r="D78" s="17"/>
      <c r="E78" s="17"/>
      <c r="F78" s="17"/>
      <c r="G78" s="17"/>
      <c r="H78" s="17"/>
    </row>
    <row r="79" spans="1:8" s="2" customFormat="1" ht="26.25" customHeight="1">
      <c r="A79" s="51" t="s">
        <v>107</v>
      </c>
      <c r="B79" s="51"/>
      <c r="C79" s="51"/>
      <c r="D79" s="51"/>
      <c r="E79" s="51"/>
      <c r="F79" s="51"/>
      <c r="G79" s="51"/>
      <c r="H79" s="51"/>
    </row>
    <row r="80" spans="1:8">
      <c r="A80" s="54" t="s">
        <v>108</v>
      </c>
      <c r="B80" s="54"/>
      <c r="C80" s="54"/>
      <c r="D80" s="54"/>
      <c r="E80" s="54"/>
      <c r="F80" s="54"/>
      <c r="G80" s="54"/>
      <c r="H80" s="54"/>
    </row>
    <row r="81" spans="2:2">
      <c r="B81" s="3"/>
    </row>
    <row r="82" spans="2:2">
      <c r="B82" s="3"/>
    </row>
  </sheetData>
  <mergeCells count="22">
    <mergeCell ref="A80:H80"/>
    <mergeCell ref="A79:H79"/>
    <mergeCell ref="B72:H72"/>
    <mergeCell ref="B73:H73"/>
    <mergeCell ref="B74:H74"/>
    <mergeCell ref="B75:H75"/>
    <mergeCell ref="B76:H76"/>
    <mergeCell ref="B68:H68"/>
    <mergeCell ref="B69:H69"/>
    <mergeCell ref="B70:H70"/>
    <mergeCell ref="B71:H71"/>
    <mergeCell ref="B77:H77"/>
    <mergeCell ref="B63:H63"/>
    <mergeCell ref="B64:H64"/>
    <mergeCell ref="B65:H65"/>
    <mergeCell ref="B66:H66"/>
    <mergeCell ref="B67:H67"/>
    <mergeCell ref="K1:L1"/>
    <mergeCell ref="B60:H60"/>
    <mergeCell ref="B61:H61"/>
    <mergeCell ref="A2:M2"/>
    <mergeCell ref="B62:H62"/>
  </mergeCells>
  <pageMargins left="0.27559055118110237" right="0.27559055118110237" top="0.39370078740157483" bottom="0.35433070866141736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D20" sqref="D20"/>
    </sheetView>
  </sheetViews>
  <sheetFormatPr defaultRowHeight="14.25"/>
  <cols>
    <col min="2" max="2" width="50.75" customWidth="1"/>
    <col min="3" max="3" width="14.25" customWidth="1"/>
    <col min="4" max="4" width="12.875" customWidth="1"/>
    <col min="5" max="5" width="14.25" customWidth="1"/>
  </cols>
  <sheetData>
    <row r="2" spans="2:5">
      <c r="C2">
        <v>2008</v>
      </c>
      <c r="D2">
        <v>2009</v>
      </c>
      <c r="E2" t="s">
        <v>117</v>
      </c>
    </row>
    <row r="3" spans="2:5">
      <c r="B3" s="8" t="s">
        <v>89</v>
      </c>
      <c r="C3">
        <v>14029985</v>
      </c>
      <c r="D3">
        <v>14230011.77</v>
      </c>
      <c r="E3">
        <v>19586791.199999999</v>
      </c>
    </row>
    <row r="4" spans="2:5">
      <c r="B4" s="10" t="s">
        <v>13</v>
      </c>
      <c r="C4">
        <v>13140171</v>
      </c>
      <c r="D4">
        <v>13426176</v>
      </c>
      <c r="E4" s="40">
        <v>13110955.199999999</v>
      </c>
    </row>
    <row r="5" spans="2:5">
      <c r="B5" s="11" t="s">
        <v>14</v>
      </c>
      <c r="D5">
        <v>803836</v>
      </c>
    </row>
    <row r="6" spans="2:5">
      <c r="B6" s="11" t="s">
        <v>87</v>
      </c>
      <c r="C6">
        <v>243478.44</v>
      </c>
      <c r="D6">
        <v>134056.76</v>
      </c>
      <c r="E6">
        <v>123500</v>
      </c>
    </row>
    <row r="7" spans="2:5">
      <c r="B7" s="8" t="s">
        <v>116</v>
      </c>
      <c r="C7">
        <v>11662817</v>
      </c>
      <c r="D7">
        <v>13260876.960000001</v>
      </c>
      <c r="E7">
        <v>14105150.199999999</v>
      </c>
    </row>
    <row r="8" spans="2:5">
      <c r="C8">
        <f>(C4-C7+C6)/C3</f>
        <v>0.12265390447673322</v>
      </c>
      <c r="D8">
        <f t="shared" ref="D8" si="0">(D4-D7+D6)/D3</f>
        <v>2.1036932705221445E-2</v>
      </c>
      <c r="E8">
        <f>(E4-E7+E6)/E3</f>
        <v>-4.4453172094875856E-2</v>
      </c>
    </row>
    <row r="10" spans="2:5">
      <c r="C10">
        <f>SUM(C8:E8)/3</f>
        <v>3.3079221695692933E-2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6:K7"/>
  <sheetViews>
    <sheetView workbookViewId="0">
      <selection activeCell="G7" sqref="G7:K7"/>
    </sheetView>
  </sheetViews>
  <sheetFormatPr defaultRowHeight="14.25"/>
  <sheetData>
    <row r="6" spans="5:11">
      <c r="E6" s="36">
        <v>90000</v>
      </c>
      <c r="F6" s="36">
        <v>100000</v>
      </c>
      <c r="G6" s="36">
        <v>400000</v>
      </c>
      <c r="H6" s="36">
        <v>600000</v>
      </c>
      <c r="I6" s="36">
        <v>600000</v>
      </c>
      <c r="J6" s="36">
        <v>600000</v>
      </c>
      <c r="K6" s="36">
        <v>700000</v>
      </c>
    </row>
    <row r="7" spans="5:11">
      <c r="E7">
        <f>SUM(E6:K6)*0.05</f>
        <v>154500</v>
      </c>
      <c r="F7">
        <f t="shared" ref="F7:K7" si="0">SUM(F6:L6)*0.05</f>
        <v>150000</v>
      </c>
      <c r="G7">
        <f t="shared" si="0"/>
        <v>145000</v>
      </c>
      <c r="H7">
        <f t="shared" si="0"/>
        <v>125000</v>
      </c>
      <c r="I7">
        <f t="shared" si="0"/>
        <v>95000</v>
      </c>
      <c r="J7">
        <f t="shared" si="0"/>
        <v>65000</v>
      </c>
      <c r="K7">
        <f t="shared" si="0"/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OPTIMUS_OEM</cp:lastModifiedBy>
  <cp:lastPrinted>2011-03-07T12:00:20Z</cp:lastPrinted>
  <dcterms:created xsi:type="dcterms:W3CDTF">2010-10-07T05:45:12Z</dcterms:created>
  <dcterms:modified xsi:type="dcterms:W3CDTF">2011-03-07T12:01:26Z</dcterms:modified>
</cp:coreProperties>
</file>