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definedNames>
    <definedName name="_xlnm.Print_Area" localSheetId="0">Arkusz1!$A$1:$M$58</definedName>
  </definedNames>
  <calcPr calcId="125725"/>
</workbook>
</file>

<file path=xl/calcChain.xml><?xml version="1.0" encoding="utf-8"?>
<calcChain xmlns="http://schemas.openxmlformats.org/spreadsheetml/2006/main">
  <c r="C13" i="1"/>
  <c r="D8" l="1"/>
  <c r="C45"/>
  <c r="E8" i="2"/>
  <c r="D4" i="1" l="1"/>
  <c r="D5"/>
  <c r="F7" i="3"/>
  <c r="G7"/>
  <c r="H7"/>
  <c r="I7"/>
  <c r="J7"/>
  <c r="K7"/>
  <c r="E7"/>
  <c r="H8" i="1"/>
  <c r="I8"/>
  <c r="J8" s="1"/>
  <c r="K8" s="1"/>
  <c r="L8" s="1"/>
  <c r="M8" s="1"/>
  <c r="G8"/>
  <c r="F8"/>
  <c r="G30"/>
  <c r="F30"/>
  <c r="E30"/>
  <c r="D30"/>
  <c r="C30"/>
  <c r="D23"/>
  <c r="D45" s="1"/>
  <c r="E45" s="1"/>
  <c r="E23"/>
  <c r="F23"/>
  <c r="G23"/>
  <c r="H23"/>
  <c r="I23"/>
  <c r="J23"/>
  <c r="K23"/>
  <c r="L23"/>
  <c r="M23"/>
  <c r="C23"/>
  <c r="E5"/>
  <c r="E12"/>
  <c r="F12"/>
  <c r="G12" s="1"/>
  <c r="H12" s="1"/>
  <c r="I12" s="1"/>
  <c r="J12" s="1"/>
  <c r="K12" s="1"/>
  <c r="L12" s="1"/>
  <c r="M12" s="1"/>
  <c r="E11"/>
  <c r="F11" s="1"/>
  <c r="G11" s="1"/>
  <c r="H11" s="1"/>
  <c r="I11" s="1"/>
  <c r="J11" s="1"/>
  <c r="K11" s="1"/>
  <c r="L11" s="1"/>
  <c r="M11" s="1"/>
  <c r="F45" l="1"/>
  <c r="G45" s="1"/>
  <c r="H45" s="1"/>
  <c r="I45" s="1"/>
  <c r="J45" s="1"/>
  <c r="K45" s="1"/>
  <c r="L45" s="1"/>
  <c r="M45" s="1"/>
  <c r="D13"/>
  <c r="E13" s="1"/>
  <c r="F13" s="1"/>
  <c r="G13" s="1"/>
  <c r="H13" s="1"/>
  <c r="I13" s="1"/>
  <c r="J13" s="1"/>
  <c r="K13" s="1"/>
  <c r="L13" s="1"/>
  <c r="M13" s="1"/>
  <c r="F5" l="1"/>
  <c r="H30"/>
  <c r="H54" s="1"/>
  <c r="I30"/>
  <c r="I54" s="1"/>
  <c r="J30"/>
  <c r="J54" s="1"/>
  <c r="K30"/>
  <c r="K54" s="1"/>
  <c r="L30"/>
  <c r="M30"/>
  <c r="M54" s="1"/>
  <c r="D14"/>
  <c r="E14"/>
  <c r="F14"/>
  <c r="G14"/>
  <c r="H14"/>
  <c r="I14"/>
  <c r="J14"/>
  <c r="K14"/>
  <c r="L14"/>
  <c r="M14"/>
  <c r="L54"/>
  <c r="H58"/>
  <c r="I58"/>
  <c r="J58"/>
  <c r="K58"/>
  <c r="L58"/>
  <c r="M58"/>
  <c r="L50" l="1"/>
  <c r="M50"/>
  <c r="K50"/>
  <c r="G5"/>
  <c r="L22"/>
  <c r="J22"/>
  <c r="H22"/>
  <c r="M22"/>
  <c r="K22"/>
  <c r="I22"/>
  <c r="H5" l="1"/>
  <c r="H7"/>
  <c r="H49" s="1"/>
  <c r="H17" l="1"/>
  <c r="H21" s="1"/>
  <c r="H39" s="1"/>
  <c r="I5"/>
  <c r="I7"/>
  <c r="H40" l="1"/>
  <c r="H55" s="1"/>
  <c r="H56" s="1"/>
  <c r="H59" s="1"/>
  <c r="I17"/>
  <c r="I21" s="1"/>
  <c r="I39" s="1"/>
  <c r="I49"/>
  <c r="J7"/>
  <c r="D8" i="2"/>
  <c r="C8"/>
  <c r="C10" l="1"/>
  <c r="C50" i="1"/>
  <c r="I40"/>
  <c r="I55" s="1"/>
  <c r="I56" s="1"/>
  <c r="I59" s="1"/>
  <c r="H43"/>
  <c r="J17"/>
  <c r="J21" s="1"/>
  <c r="J39" s="1"/>
  <c r="J49"/>
  <c r="K7"/>
  <c r="F58"/>
  <c r="G58"/>
  <c r="D54"/>
  <c r="D55" s="1"/>
  <c r="E54"/>
  <c r="E55" s="1"/>
  <c r="F54"/>
  <c r="G54"/>
  <c r="J50" s="1"/>
  <c r="C58"/>
  <c r="D7"/>
  <c r="E7"/>
  <c r="F7"/>
  <c r="G7"/>
  <c r="G50" l="1"/>
  <c r="I50"/>
  <c r="I51" s="1"/>
  <c r="H50"/>
  <c r="H51" s="1"/>
  <c r="J40"/>
  <c r="J55" s="1"/>
  <c r="J56" s="1"/>
  <c r="J59" s="1"/>
  <c r="I43"/>
  <c r="J51"/>
  <c r="M7"/>
  <c r="L7"/>
  <c r="K17"/>
  <c r="K21" s="1"/>
  <c r="K39" s="1"/>
  <c r="K49"/>
  <c r="K51" s="1"/>
  <c r="D56"/>
  <c r="G17"/>
  <c r="G21" s="1"/>
  <c r="F17"/>
  <c r="F21" s="1"/>
  <c r="E53"/>
  <c r="E17"/>
  <c r="E21" s="1"/>
  <c r="E56"/>
  <c r="D53"/>
  <c r="D17"/>
  <c r="D21" s="1"/>
  <c r="E58"/>
  <c r="D58"/>
  <c r="G22"/>
  <c r="F22"/>
  <c r="E22"/>
  <c r="D22"/>
  <c r="D52" s="1"/>
  <c r="C22"/>
  <c r="C52" s="1"/>
  <c r="E49" l="1"/>
  <c r="E52"/>
  <c r="K40"/>
  <c r="K55" s="1"/>
  <c r="K56" s="1"/>
  <c r="K59" s="1"/>
  <c r="J43"/>
  <c r="L17"/>
  <c r="L21" s="1"/>
  <c r="L39" s="1"/>
  <c r="L49"/>
  <c r="L51" s="1"/>
  <c r="M17"/>
  <c r="M21" s="1"/>
  <c r="M39" s="1"/>
  <c r="M49"/>
  <c r="D59"/>
  <c r="E59"/>
  <c r="G49"/>
  <c r="G51" s="1"/>
  <c r="G39"/>
  <c r="F49"/>
  <c r="F39"/>
  <c r="E39"/>
  <c r="E43" s="1"/>
  <c r="D49"/>
  <c r="D39"/>
  <c r="D43" s="1"/>
  <c r="K43" l="1"/>
  <c r="M40"/>
  <c r="M55" s="1"/>
  <c r="M56" s="1"/>
  <c r="M59" s="1"/>
  <c r="L40"/>
  <c r="L55" s="1"/>
  <c r="L56" s="1"/>
  <c r="L59" s="1"/>
  <c r="G40"/>
  <c r="G55" s="1"/>
  <c r="G56" s="1"/>
  <c r="G59" s="1"/>
  <c r="F40"/>
  <c r="F55" s="1"/>
  <c r="F56" s="1"/>
  <c r="F59" s="1"/>
  <c r="M51"/>
  <c r="C7"/>
  <c r="G43" l="1"/>
  <c r="L43"/>
  <c r="M43"/>
  <c r="F43"/>
  <c r="C49"/>
  <c r="C51" s="1"/>
  <c r="C53"/>
  <c r="C14" l="1"/>
  <c r="C54" l="1"/>
  <c r="D50" s="1"/>
  <c r="C17"/>
  <c r="C21" s="1"/>
  <c r="C39" s="1"/>
  <c r="D51" l="1"/>
  <c r="E50"/>
  <c r="E51" s="1"/>
  <c r="F50"/>
  <c r="F51" s="1"/>
  <c r="C43"/>
  <c r="C55" l="1"/>
  <c r="C56" s="1"/>
  <c r="C59" s="1"/>
</calcChain>
</file>

<file path=xl/sharedStrings.xml><?xml version="1.0" encoding="utf-8"?>
<sst xmlns="http://schemas.openxmlformats.org/spreadsheetml/2006/main" count="164" uniqueCount="132">
  <si>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</si>
  <si>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</si>
  <si>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</si>
  <si>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</si>
  <si>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</si>
  <si>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</si>
  <si>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</si>
  <si>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</si>
  <si>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</si>
  <si>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</si>
  <si>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</si>
  <si>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</si>
  <si>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</si>
  <si>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</si>
  <si>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</si>
  <si>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</si>
  <si>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</si>
  <si>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</si>
  <si>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</si>
  <si>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</si>
  <si>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</si>
  <si>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</si>
  <si>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</si>
  <si>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</si>
  <si>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</si>
  <si>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</si>
  <si>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</si>
  <si>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</si>
  <si>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</si>
  <si>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</si>
  <si>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</si>
  <si>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</si>
  <si>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</si>
  <si>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</si>
  <si>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</si>
  <si>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</si>
  <si>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</si>
  <si>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</si>
  <si>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</si>
  <si>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</si>
  <si>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</si>
  <si>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</si>
  <si>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</si>
  <si>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</si>
  <si>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</si>
  <si>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</si>
  <si>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</si>
  <si>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</si>
  <si>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</si>
  <si>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</si>
  <si>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</si>
  <si>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</si>
  <si>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</si>
  <si>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</si>
  <si>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</si>
  <si>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</si>
  <si>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</si>
  <si>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</si>
  <si>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</si>
  <si>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</si>
  <si>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</si>
  <si>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</si>
  <si>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</si>
  <si>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</si>
  <si>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</si>
  <si>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</si>
  <si>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</si>
  <si>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</si>
  <si>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</si>
  <si>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</si>
  <si>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</si>
  <si>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</si>
  <si>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</si>
  <si>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</si>
  <si>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</si>
  <si>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</si>
  <si>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</si>
  <si>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</si>
  <si>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</si>
  <si>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</si>
  <si>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</si>
  <si>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</si>
  <si>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</si>
  <si>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  <charset val="238"/>
      </rPr>
      <t>(pieczęć  j.s.t.)</t>
    </r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</si>
  <si>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</si>
  <si>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</si>
  <si>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</si>
  <si>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</si>
  <si>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</si>
  <si>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</si>
  <si>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</si>
  <si>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</si>
  <si>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</si>
  <si>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</si>
  <si>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</si>
  <si>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</si>
  <si>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</si>
  <si>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</si>
  <si>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</si>
  <si>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</si>
  <si>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</si>
  <si>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</si>
  <si>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r>
      <t>Planowana łączna kwota spłaty zobowiązań /dochody ogółem -max 15% z art. 169 sufp</t>
    </r>
    <r>
      <rPr>
        <b/>
        <vertAlign val="superscript"/>
        <sz val="10"/>
        <color theme="1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</si>
  <si>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color theme="1"/>
        <rFont val="Arial"/>
        <family val="2"/>
        <charset val="238"/>
      </rPr>
      <t>18)</t>
    </r>
  </si>
  <si>
    <t>d )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</si>
  <si>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</si>
  <si>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</si>
  <si>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</si>
  <si>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</si>
  <si>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  <charset val="238"/>
      </rPr>
      <t>niewłaściwe skreślić**</t>
    </r>
  </si>
  <si>
    <t>Środki do dyspozycji (3+4+5) na  (7+8+9)</t>
  </si>
  <si>
    <t>x</t>
  </si>
  <si>
    <t>pozyczka2003</t>
  </si>
  <si>
    <t xml:space="preserve">kredyt euro </t>
  </si>
  <si>
    <t>obligacje2009</t>
  </si>
  <si>
    <t>obligacje2010</t>
  </si>
  <si>
    <t>prowizje</t>
  </si>
  <si>
    <t xml:space="preserve">Wydatki bieżące </t>
  </si>
  <si>
    <t>2010 3kw</t>
  </si>
  <si>
    <t>2015 r.</t>
  </si>
  <si>
    <t>2016 r.</t>
  </si>
  <si>
    <t>2017 r.</t>
  </si>
  <si>
    <t>2018 r.</t>
  </si>
  <si>
    <t>2019 r.</t>
  </si>
  <si>
    <t>2020 r.</t>
  </si>
  <si>
    <t>2021 r.</t>
  </si>
  <si>
    <t>obligacje 2011</t>
  </si>
  <si>
    <t>obligaacje 2011</t>
  </si>
  <si>
    <t>obligacje 2012</t>
  </si>
  <si>
    <r>
      <t xml:space="preserve">  łączna kwota wyłączeń z art. 243 ust. 3 pkt 1 ufp oraz
  z art. 170 ust. 3 sufp</t>
    </r>
    <r>
      <rPr>
        <b/>
        <vertAlign val="superscript"/>
        <sz val="10"/>
        <rFont val="Arial"/>
        <family val="2"/>
        <charset val="238"/>
      </rPr>
      <t>12)</t>
    </r>
  </si>
  <si>
    <t>Wieloletnia prognoza finansowa Gminy Widuchowa na lata 2011 - 2021</t>
  </si>
  <si>
    <t>Załącznik Nr 1
do Uchwały Nr IV/18/2011 Rady Gminy Widuchowa 
z dnia 26 stycznia 2011 r.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</si>
</sst>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 ce"/>
      <charset val="238"/>
    </font>
    <font>
      <b/>
      <sz val="11"/>
      <color rgb="FFFF0000"/>
      <name val="Czcionka tekstu podstawowego"/>
      <family val="2"/>
      <charset val="238"/>
    </font>
    <font>
      <b/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0" xfId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3" fontId="9" fillId="3" borderId="3" xfId="0" applyNumberFormat="1" applyFont="1" applyFill="1" applyBorder="1" applyAlignment="1">
      <alignment vertical="top" wrapText="1"/>
    </xf>
    <xf numFmtId="3" fontId="9" fillId="4" borderId="5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top" wrapText="1"/>
    </xf>
    <xf numFmtId="3" fontId="9" fillId="5" borderId="1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3" fontId="13" fillId="2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4" xfId="0" applyFont="1" applyBorder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4" fontId="0" fillId="0" borderId="0" xfId="0" applyNumberFormat="1"/>
    <xf numFmtId="10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11" fillId="0" borderId="0" xfId="1" applyFont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14" fillId="0" borderId="0" xfId="0" applyFont="1" applyAlignment="1">
      <alignment wrapText="1"/>
    </xf>
    <xf numFmtId="3" fontId="12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Wersja%20finalna%20-%20projekt/projWiduchowa2011final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!/Budzet/2011/projWiduchowa2011roboczy%20UE%20ver%2000%20bez%20wypelnienia%20kopia%20z%20dnia%2031paz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>
        <row r="76">
          <cell r="F76">
            <v>8800</v>
          </cell>
        </row>
        <row r="82">
          <cell r="F82">
            <v>69500</v>
          </cell>
        </row>
        <row r="87">
          <cell r="F87">
            <v>2185321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>
        <row r="444">
          <cell r="L4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view="pageBreakPreview" zoomScale="80" zoomScaleNormal="100" zoomScaleSheetLayoutView="80" workbookViewId="0">
      <selection activeCell="E1" sqref="E1"/>
    </sheetView>
  </sheetViews>
  <sheetFormatPr defaultRowHeight="14.25"/>
  <cols>
    <col min="1" max="1" width="5.5" style="1" customWidth="1"/>
    <col min="2" max="2" width="50.75" customWidth="1"/>
    <col min="3" max="8" width="17.5" customWidth="1"/>
    <col min="9" max="13" width="18.125" customWidth="1"/>
  </cols>
  <sheetData>
    <row r="1" spans="1:13" ht="38.25" customHeight="1">
      <c r="A1" s="53" t="s">
        <v>83</v>
      </c>
      <c r="B1" s="53"/>
    </row>
    <row r="2" spans="1:13" ht="36.75" customHeight="1">
      <c r="B2" s="4"/>
      <c r="K2" s="52" t="s">
        <v>131</v>
      </c>
      <c r="L2" s="52"/>
    </row>
    <row r="3" spans="1:13" ht="30.75" customHeight="1">
      <c r="A3" s="54" t="s">
        <v>130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</row>
    <row r="4" spans="1:13" ht="14.25" hidden="1" customHeight="1">
      <c r="A4" s="43"/>
      <c r="B4" s="43"/>
      <c r="C4" s="43"/>
      <c r="D4" s="43">
        <f>(D11-C11)/C11</f>
        <v>3.0597254823950665E-2</v>
      </c>
    </row>
    <row r="5" spans="1:13" hidden="1">
      <c r="D5" s="45">
        <f>(D8-C8)/C8</f>
        <v>5.693565807745718E-2</v>
      </c>
      <c r="E5" s="45">
        <f t="shared" ref="E5:I5" si="0">(E8-D8)/D8</f>
        <v>7.5810000000000002E-2</v>
      </c>
      <c r="F5" s="45">
        <f t="shared" si="0"/>
        <v>5.1660480302161735E-2</v>
      </c>
      <c r="G5" s="45">
        <f t="shared" si="0"/>
        <v>0.03</v>
      </c>
      <c r="H5" s="45">
        <f t="shared" si="0"/>
        <v>0.03</v>
      </c>
      <c r="I5" s="45">
        <f t="shared" si="0"/>
        <v>0.03</v>
      </c>
    </row>
    <row r="6" spans="1:13">
      <c r="A6" s="5" t="s">
        <v>82</v>
      </c>
      <c r="B6" s="5" t="s">
        <v>81</v>
      </c>
      <c r="C6" s="6" t="s">
        <v>84</v>
      </c>
      <c r="D6" s="5" t="s">
        <v>85</v>
      </c>
      <c r="E6" s="5" t="s">
        <v>86</v>
      </c>
      <c r="F6" s="6" t="s">
        <v>87</v>
      </c>
      <c r="G6" s="5" t="s">
        <v>119</v>
      </c>
      <c r="H6" s="5" t="s">
        <v>120</v>
      </c>
      <c r="I6" s="5" t="s">
        <v>121</v>
      </c>
      <c r="J6" s="5" t="s">
        <v>122</v>
      </c>
      <c r="K6" s="5" t="s">
        <v>123</v>
      </c>
      <c r="L6" s="5" t="s">
        <v>124</v>
      </c>
      <c r="M6" s="5" t="s">
        <v>125</v>
      </c>
    </row>
    <row r="7" spans="1:13" s="2" customFormat="1">
      <c r="A7" s="7" t="s">
        <v>36</v>
      </c>
      <c r="B7" s="8" t="s">
        <v>90</v>
      </c>
      <c r="C7" s="25">
        <f>SUM(C8:C9)</f>
        <v>18228413</v>
      </c>
      <c r="D7" s="25">
        <f t="shared" ref="D7:G7" si="1">SUM(D8:D9)</f>
        <v>16400000</v>
      </c>
      <c r="E7" s="25">
        <f t="shared" si="1"/>
        <v>16660597</v>
      </c>
      <c r="F7" s="25">
        <f t="shared" si="1"/>
        <v>15800000</v>
      </c>
      <c r="G7" s="25">
        <f t="shared" si="1"/>
        <v>16265000</v>
      </c>
      <c r="H7" s="25">
        <f t="shared" ref="H7:M7" si="2">SUM(H8:H9)</f>
        <v>16743950</v>
      </c>
      <c r="I7" s="25">
        <f t="shared" si="2"/>
        <v>17237268.5</v>
      </c>
      <c r="J7" s="25">
        <f t="shared" si="2"/>
        <v>17745386.555</v>
      </c>
      <c r="K7" s="25">
        <f t="shared" si="2"/>
        <v>18268748.15165</v>
      </c>
      <c r="L7" s="25">
        <f t="shared" si="2"/>
        <v>18807810.596199501</v>
      </c>
      <c r="M7" s="25">
        <f t="shared" si="2"/>
        <v>19363044.914085485</v>
      </c>
    </row>
    <row r="8" spans="1:13" s="2" customFormat="1">
      <c r="A8" s="9" t="s">
        <v>18</v>
      </c>
      <c r="B8" s="10" t="s">
        <v>13</v>
      </c>
      <c r="C8" s="25">
        <v>12962000</v>
      </c>
      <c r="D8" s="25">
        <f>13700000</f>
        <v>13700000</v>
      </c>
      <c r="E8" s="25">
        <v>14738597</v>
      </c>
      <c r="F8" s="25">
        <f>15500000</f>
        <v>15500000</v>
      </c>
      <c r="G8" s="25">
        <f>F8*1.03</f>
        <v>15965000</v>
      </c>
      <c r="H8" s="25">
        <f t="shared" ref="H8:M8" si="3">G8*1.03</f>
        <v>16443950</v>
      </c>
      <c r="I8" s="25">
        <f t="shared" si="3"/>
        <v>16937268.5</v>
      </c>
      <c r="J8" s="25">
        <f t="shared" si="3"/>
        <v>17445386.555</v>
      </c>
      <c r="K8" s="25">
        <f t="shared" si="3"/>
        <v>17968748.15165</v>
      </c>
      <c r="L8" s="25">
        <f t="shared" si="3"/>
        <v>18507810.596199501</v>
      </c>
      <c r="M8" s="25">
        <f t="shared" si="3"/>
        <v>19063044.914085485</v>
      </c>
    </row>
    <row r="9" spans="1:13" s="2" customFormat="1">
      <c r="A9" s="9" t="s">
        <v>19</v>
      </c>
      <c r="B9" s="11" t="s">
        <v>14</v>
      </c>
      <c r="C9" s="26">
        <v>5266413</v>
      </c>
      <c r="D9" s="26">
        <v>2700000</v>
      </c>
      <c r="E9" s="26">
        <v>1922000</v>
      </c>
      <c r="F9" s="26">
        <v>300000</v>
      </c>
      <c r="G9" s="26">
        <v>300000</v>
      </c>
      <c r="H9" s="26">
        <v>300000</v>
      </c>
      <c r="I9" s="26">
        <v>300000</v>
      </c>
      <c r="J9" s="26">
        <v>300000</v>
      </c>
      <c r="K9" s="26">
        <v>300000</v>
      </c>
      <c r="L9" s="26">
        <v>300000</v>
      </c>
      <c r="M9" s="26">
        <v>300000</v>
      </c>
    </row>
    <row r="10" spans="1:13" s="2" customFormat="1">
      <c r="A10" s="9"/>
      <c r="B10" s="11" t="s">
        <v>88</v>
      </c>
      <c r="C10" s="25">
        <v>190000</v>
      </c>
      <c r="D10" s="25">
        <v>400000</v>
      </c>
      <c r="E10" s="25">
        <v>422000</v>
      </c>
      <c r="F10" s="25">
        <v>300000</v>
      </c>
      <c r="G10" s="25">
        <v>300000</v>
      </c>
      <c r="H10" s="25">
        <v>300000</v>
      </c>
      <c r="I10" s="25">
        <v>300000</v>
      </c>
      <c r="J10" s="25">
        <v>300000</v>
      </c>
      <c r="K10" s="25">
        <v>300000</v>
      </c>
      <c r="L10" s="25">
        <v>300000</v>
      </c>
      <c r="M10" s="25">
        <v>300000</v>
      </c>
    </row>
    <row r="11" spans="1:13" s="2" customFormat="1" ht="51" customHeight="1">
      <c r="A11" s="7" t="s">
        <v>37</v>
      </c>
      <c r="B11" s="8" t="s">
        <v>106</v>
      </c>
      <c r="C11" s="25">
        <v>12567500</v>
      </c>
      <c r="D11" s="25">
        <v>12952031</v>
      </c>
      <c r="E11" s="25">
        <f t="shared" ref="E11:M11" si="4">D11*1.03</f>
        <v>13340591.93</v>
      </c>
      <c r="F11" s="25">
        <f t="shared" si="4"/>
        <v>13740809.687899999</v>
      </c>
      <c r="G11" s="25">
        <f t="shared" si="4"/>
        <v>14153033.978536999</v>
      </c>
      <c r="H11" s="25">
        <f t="shared" si="4"/>
        <v>14577624.99789311</v>
      </c>
      <c r="I11" s="25">
        <f t="shared" si="4"/>
        <v>15014953.747829903</v>
      </c>
      <c r="J11" s="25">
        <f t="shared" si="4"/>
        <v>15465402.3602648</v>
      </c>
      <c r="K11" s="25">
        <f t="shared" si="4"/>
        <v>15929364.431072745</v>
      </c>
      <c r="L11" s="25">
        <f t="shared" si="4"/>
        <v>16407245.364004929</v>
      </c>
      <c r="M11" s="25">
        <f t="shared" si="4"/>
        <v>16899462.724925078</v>
      </c>
    </row>
    <row r="12" spans="1:13" s="2" customFormat="1">
      <c r="A12" s="9" t="s">
        <v>18</v>
      </c>
      <c r="B12" s="11" t="s">
        <v>91</v>
      </c>
      <c r="C12" s="26">
        <v>5923327</v>
      </c>
      <c r="D12" s="26">
        <v>6098967</v>
      </c>
      <c r="E12" s="26">
        <f t="shared" ref="E12:M12" si="5">D12*1.03</f>
        <v>6281936.0099999998</v>
      </c>
      <c r="F12" s="26">
        <f t="shared" si="5"/>
        <v>6470394.0903000003</v>
      </c>
      <c r="G12" s="26">
        <f t="shared" si="5"/>
        <v>6664505.913009</v>
      </c>
      <c r="H12" s="26">
        <f t="shared" si="5"/>
        <v>6864441.0903992699</v>
      </c>
      <c r="I12" s="26">
        <f t="shared" si="5"/>
        <v>7070374.3231112482</v>
      </c>
      <c r="J12" s="26">
        <f t="shared" si="5"/>
        <v>7282485.5528045855</v>
      </c>
      <c r="K12" s="26">
        <f t="shared" si="5"/>
        <v>7500960.1193887237</v>
      </c>
      <c r="L12" s="26">
        <f t="shared" si="5"/>
        <v>7725988.9229703853</v>
      </c>
      <c r="M12" s="26">
        <f t="shared" si="5"/>
        <v>7957768.5906594973</v>
      </c>
    </row>
    <row r="13" spans="1:13" s="2" customFormat="1">
      <c r="A13" s="9" t="s">
        <v>19</v>
      </c>
      <c r="B13" s="11" t="s">
        <v>92</v>
      </c>
      <c r="C13" s="26">
        <f>SUM('[1]2'!$F$76,'[1]2'!$F$82,'[1]2'!$F$87)</f>
        <v>2263621</v>
      </c>
      <c r="D13" s="26">
        <f>C13*1.03</f>
        <v>2331529.63</v>
      </c>
      <c r="E13" s="26">
        <f t="shared" ref="E13:M13" si="6">D13*1.03</f>
        <v>2401475.5189</v>
      </c>
      <c r="F13" s="26">
        <f t="shared" si="6"/>
        <v>2473519.784467</v>
      </c>
      <c r="G13" s="26">
        <f t="shared" si="6"/>
        <v>2547725.37800101</v>
      </c>
      <c r="H13" s="26">
        <f t="shared" si="6"/>
        <v>2624157.1393410405</v>
      </c>
      <c r="I13" s="26">
        <f t="shared" si="6"/>
        <v>2702881.8535212716</v>
      </c>
      <c r="J13" s="26">
        <f t="shared" si="6"/>
        <v>2783968.3091269098</v>
      </c>
      <c r="K13" s="26">
        <f t="shared" si="6"/>
        <v>2867487.3584007174</v>
      </c>
      <c r="L13" s="26">
        <f t="shared" si="6"/>
        <v>2953511.979152739</v>
      </c>
      <c r="M13" s="26">
        <f t="shared" si="6"/>
        <v>3042117.3385273213</v>
      </c>
    </row>
    <row r="14" spans="1:13" s="2" customFormat="1">
      <c r="A14" s="9" t="s">
        <v>20</v>
      </c>
      <c r="B14" s="11" t="s">
        <v>15</v>
      </c>
      <c r="C14" s="25">
        <f>'[2]2'!$L$444</f>
        <v>0</v>
      </c>
      <c r="D14" s="25">
        <f>'[2]2'!$L$444</f>
        <v>0</v>
      </c>
      <c r="E14" s="25">
        <f>'[2]2'!$L$444</f>
        <v>0</v>
      </c>
      <c r="F14" s="25">
        <f>'[2]2'!$L$444</f>
        <v>0</v>
      </c>
      <c r="G14" s="25">
        <f>'[2]2'!$L$444</f>
        <v>0</v>
      </c>
      <c r="H14" s="25">
        <f>'[2]2'!$L$444</f>
        <v>0</v>
      </c>
      <c r="I14" s="25">
        <f>'[2]2'!$L$444</f>
        <v>0</v>
      </c>
      <c r="J14" s="25">
        <f>'[2]2'!$L$444</f>
        <v>0</v>
      </c>
      <c r="K14" s="25">
        <f>'[2]2'!$L$444</f>
        <v>0</v>
      </c>
      <c r="L14" s="25">
        <f>'[2]2'!$L$444</f>
        <v>0</v>
      </c>
      <c r="M14" s="25">
        <f>'[2]2'!$L$444</f>
        <v>0</v>
      </c>
    </row>
    <row r="15" spans="1:13" s="2" customFormat="1" ht="25.5">
      <c r="A15" s="9"/>
      <c r="B15" s="11" t="s">
        <v>89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 s="2" customFormat="1">
      <c r="A16" s="9" t="s">
        <v>104</v>
      </c>
      <c r="B16" s="11" t="s">
        <v>105</v>
      </c>
      <c r="C16" s="26">
        <v>341872.83999999997</v>
      </c>
      <c r="D16" s="26">
        <v>223545.58</v>
      </c>
      <c r="E16" s="26">
        <v>11549</v>
      </c>
      <c r="F16" s="26">
        <v>7280</v>
      </c>
      <c r="G16" s="26">
        <v>0</v>
      </c>
      <c r="H16" s="26"/>
      <c r="I16" s="26"/>
      <c r="J16" s="26"/>
      <c r="K16" s="26"/>
      <c r="L16" s="26"/>
      <c r="M16" s="26"/>
    </row>
    <row r="17" spans="1:13" s="2" customFormat="1" ht="25.5">
      <c r="A17" s="7" t="s">
        <v>38</v>
      </c>
      <c r="B17" s="18" t="s">
        <v>0</v>
      </c>
      <c r="C17" s="27">
        <f>C7-C11</f>
        <v>5660913</v>
      </c>
      <c r="D17" s="27">
        <f t="shared" ref="D17:G17" si="7">D7-D11</f>
        <v>3447969</v>
      </c>
      <c r="E17" s="27">
        <f t="shared" si="7"/>
        <v>3320005.0700000003</v>
      </c>
      <c r="F17" s="27">
        <f t="shared" si="7"/>
        <v>2059190.3121000007</v>
      </c>
      <c r="G17" s="27">
        <f t="shared" si="7"/>
        <v>2111966.0214630011</v>
      </c>
      <c r="H17" s="27">
        <f t="shared" ref="H17:M17" si="8">H7-H11</f>
        <v>2166325.0021068901</v>
      </c>
      <c r="I17" s="27">
        <f t="shared" si="8"/>
        <v>2222314.7521700971</v>
      </c>
      <c r="J17" s="27">
        <f t="shared" si="8"/>
        <v>2279984.1947351992</v>
      </c>
      <c r="K17" s="27">
        <f t="shared" si="8"/>
        <v>2339383.7205772549</v>
      </c>
      <c r="L17" s="27">
        <f t="shared" si="8"/>
        <v>2400565.2321945727</v>
      </c>
      <c r="M17" s="27">
        <f t="shared" si="8"/>
        <v>2463582.1891604066</v>
      </c>
    </row>
    <row r="18" spans="1:13" s="2" customFormat="1" ht="25.5">
      <c r="A18" s="7" t="s">
        <v>39</v>
      </c>
      <c r="B18" s="18" t="s">
        <v>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</row>
    <row r="19" spans="1:13" s="2" customFormat="1" ht="38.25">
      <c r="A19" s="9"/>
      <c r="B19" s="11" t="s">
        <v>107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s="2" customFormat="1" ht="15" thickBot="1">
      <c r="A20" s="7" t="s">
        <v>34</v>
      </c>
      <c r="B20" s="22" t="s">
        <v>93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</row>
    <row r="21" spans="1:13" s="2" customFormat="1" ht="30" customHeight="1" thickBot="1">
      <c r="A21" s="19" t="s">
        <v>35</v>
      </c>
      <c r="B21" s="21" t="s">
        <v>110</v>
      </c>
      <c r="C21" s="29">
        <f>SUM(C17:C18,C20)</f>
        <v>5660913</v>
      </c>
      <c r="D21" s="29">
        <f t="shared" ref="D21:G21" si="9">SUM(D17:D18,D20)</f>
        <v>3447969</v>
      </c>
      <c r="E21" s="29">
        <f t="shared" si="9"/>
        <v>3320005.0700000003</v>
      </c>
      <c r="F21" s="29">
        <f t="shared" si="9"/>
        <v>2059190.3121000007</v>
      </c>
      <c r="G21" s="29">
        <f t="shared" si="9"/>
        <v>2111966.0214630011</v>
      </c>
      <c r="H21" s="29">
        <f t="shared" ref="H21:M21" si="10">SUM(H17:H18,H20)</f>
        <v>2166325.0021068901</v>
      </c>
      <c r="I21" s="29">
        <f t="shared" si="10"/>
        <v>2222314.7521700971</v>
      </c>
      <c r="J21" s="29">
        <f t="shared" si="10"/>
        <v>2279984.1947351992</v>
      </c>
      <c r="K21" s="29">
        <f t="shared" si="10"/>
        <v>2339383.7205772549</v>
      </c>
      <c r="L21" s="29">
        <f t="shared" si="10"/>
        <v>2400565.2321945727</v>
      </c>
      <c r="M21" s="29">
        <f t="shared" si="10"/>
        <v>2463582.1891604066</v>
      </c>
    </row>
    <row r="22" spans="1:13" s="2" customFormat="1">
      <c r="A22" s="7" t="s">
        <v>40</v>
      </c>
      <c r="B22" s="20" t="s">
        <v>2</v>
      </c>
      <c r="C22" s="27">
        <f>SUM(C23,C30)</f>
        <v>1463500</v>
      </c>
      <c r="D22" s="27">
        <f t="shared" ref="D22:G22" si="11">SUM(D23,D30)</f>
        <v>1199446</v>
      </c>
      <c r="E22" s="27">
        <f t="shared" si="11"/>
        <v>1565763</v>
      </c>
      <c r="F22" s="27">
        <f t="shared" si="11"/>
        <v>614000</v>
      </c>
      <c r="G22" s="27">
        <f t="shared" si="11"/>
        <v>1191000</v>
      </c>
      <c r="H22" s="27">
        <f t="shared" ref="H22:M22" si="12">SUM(H23,H30)</f>
        <v>1451000</v>
      </c>
      <c r="I22" s="27">
        <f t="shared" si="12"/>
        <v>1591000</v>
      </c>
      <c r="J22" s="27">
        <f t="shared" si="12"/>
        <v>1523500</v>
      </c>
      <c r="K22" s="27">
        <f t="shared" si="12"/>
        <v>1456000</v>
      </c>
      <c r="L22" s="27">
        <f t="shared" si="12"/>
        <v>1594000</v>
      </c>
      <c r="M22" s="27">
        <f t="shared" si="12"/>
        <v>727000</v>
      </c>
    </row>
    <row r="23" spans="1:13" s="2" customFormat="1" ht="25.5">
      <c r="A23" s="9" t="s">
        <v>18</v>
      </c>
      <c r="B23" s="11" t="s">
        <v>61</v>
      </c>
      <c r="C23" s="25">
        <f>SUM(C24:C29)</f>
        <v>1069000</v>
      </c>
      <c r="D23" s="25">
        <f t="shared" ref="D23:M23" si="13">SUM(D24:D29)</f>
        <v>701772</v>
      </c>
      <c r="E23" s="25">
        <f t="shared" si="13"/>
        <v>1083863</v>
      </c>
      <c r="F23" s="25">
        <f t="shared" si="13"/>
        <v>190000</v>
      </c>
      <c r="G23" s="25">
        <f t="shared" si="13"/>
        <v>800000</v>
      </c>
      <c r="H23" s="25">
        <f t="shared" si="13"/>
        <v>1100000</v>
      </c>
      <c r="I23" s="25">
        <f t="shared" si="13"/>
        <v>1300000</v>
      </c>
      <c r="J23" s="25">
        <f t="shared" si="13"/>
        <v>1300000</v>
      </c>
      <c r="K23" s="25">
        <f t="shared" si="13"/>
        <v>1300000</v>
      </c>
      <c r="L23" s="25">
        <f t="shared" si="13"/>
        <v>1500000</v>
      </c>
      <c r="M23" s="25">
        <f t="shared" si="13"/>
        <v>700000</v>
      </c>
    </row>
    <row r="24" spans="1:13" s="37" customFormat="1" ht="11.25" hidden="1">
      <c r="A24" s="34"/>
      <c r="B24" s="35" t="s">
        <v>112</v>
      </c>
      <c r="C24" s="36">
        <v>84000</v>
      </c>
      <c r="D24" s="36">
        <v>34772</v>
      </c>
      <c r="E24" s="36"/>
      <c r="F24" s="36"/>
      <c r="G24" s="36"/>
      <c r="H24" s="36"/>
      <c r="I24" s="36"/>
      <c r="J24" s="36"/>
      <c r="K24" s="36"/>
      <c r="L24" s="36"/>
      <c r="M24" s="36"/>
    </row>
    <row r="25" spans="1:13" s="37" customFormat="1" ht="11.25" hidden="1">
      <c r="A25" s="38"/>
      <c r="B25" s="35" t="s">
        <v>113</v>
      </c>
      <c r="C25" s="36">
        <v>185000</v>
      </c>
      <c r="D25" s="36">
        <v>167000</v>
      </c>
      <c r="E25" s="36">
        <v>83863</v>
      </c>
      <c r="F25" s="36"/>
      <c r="G25" s="36"/>
      <c r="H25" s="36"/>
      <c r="I25" s="36"/>
      <c r="J25" s="36"/>
      <c r="K25" s="36"/>
      <c r="L25" s="36"/>
      <c r="M25" s="36"/>
    </row>
    <row r="26" spans="1:13" s="37" customFormat="1" ht="11.25" hidden="1">
      <c r="A26" s="38"/>
      <c r="B26" s="35" t="s">
        <v>114</v>
      </c>
      <c r="C26" s="36">
        <v>400000</v>
      </c>
      <c r="D26" s="36">
        <v>200000</v>
      </c>
      <c r="E26" s="36">
        <v>400000</v>
      </c>
      <c r="F26" s="36">
        <v>0</v>
      </c>
      <c r="G26" s="36"/>
      <c r="H26" s="36"/>
      <c r="I26" s="36"/>
      <c r="J26" s="36"/>
      <c r="K26" s="36"/>
      <c r="L26" s="36"/>
      <c r="M26" s="36"/>
    </row>
    <row r="27" spans="1:13" s="37" customFormat="1" ht="11.25" hidden="1">
      <c r="A27" s="38"/>
      <c r="B27" s="35" t="s">
        <v>115</v>
      </c>
      <c r="C27" s="36">
        <v>400000</v>
      </c>
      <c r="D27" s="36">
        <v>300000</v>
      </c>
      <c r="E27" s="36">
        <v>600000</v>
      </c>
      <c r="F27" s="36">
        <v>100000</v>
      </c>
      <c r="G27" s="36">
        <v>600000</v>
      </c>
      <c r="H27" s="36">
        <v>600000</v>
      </c>
      <c r="I27" s="36">
        <v>600000</v>
      </c>
      <c r="J27" s="36">
        <v>600000</v>
      </c>
      <c r="K27" s="36">
        <v>700000</v>
      </c>
      <c r="L27" s="36">
        <v>800000</v>
      </c>
      <c r="M27" s="36">
        <v>700000</v>
      </c>
    </row>
    <row r="28" spans="1:13" s="37" customFormat="1" ht="11.25" hidden="1">
      <c r="A28" s="38"/>
      <c r="B28" s="35" t="s">
        <v>127</v>
      </c>
      <c r="C28" s="36">
        <v>0</v>
      </c>
      <c r="D28" s="36">
        <v>0</v>
      </c>
      <c r="E28" s="36">
        <v>0</v>
      </c>
      <c r="F28" s="36">
        <v>90000</v>
      </c>
      <c r="G28" s="36">
        <v>100000</v>
      </c>
      <c r="H28" s="36">
        <v>400000</v>
      </c>
      <c r="I28" s="36">
        <v>600000</v>
      </c>
      <c r="J28" s="36">
        <v>600000</v>
      </c>
      <c r="K28" s="36">
        <v>600000</v>
      </c>
      <c r="L28" s="36">
        <v>700000</v>
      </c>
      <c r="M28" s="36"/>
    </row>
    <row r="29" spans="1:13" s="37" customFormat="1" ht="11.25" hidden="1">
      <c r="A29" s="38"/>
      <c r="B29" s="35" t="s">
        <v>128</v>
      </c>
      <c r="C29" s="36"/>
      <c r="D29" s="36"/>
      <c r="E29" s="36"/>
      <c r="F29" s="36"/>
      <c r="G29" s="36">
        <v>100000</v>
      </c>
      <c r="H29" s="36">
        <v>100000</v>
      </c>
      <c r="I29" s="36">
        <v>100000</v>
      </c>
      <c r="J29" s="36">
        <v>100000</v>
      </c>
      <c r="K29" s="36"/>
      <c r="L29" s="36"/>
      <c r="M29" s="36"/>
    </row>
    <row r="30" spans="1:13" s="2" customFormat="1">
      <c r="A30" s="9" t="s">
        <v>19</v>
      </c>
      <c r="B30" s="11" t="s">
        <v>16</v>
      </c>
      <c r="C30" s="25">
        <f>SUM(C31:C37)</f>
        <v>394500</v>
      </c>
      <c r="D30" s="25">
        <f>SUM(D31:D37)</f>
        <v>497674</v>
      </c>
      <c r="E30" s="25">
        <f>SUM(E31:E37)</f>
        <v>481900</v>
      </c>
      <c r="F30" s="25">
        <f>SUM(F31:F37)</f>
        <v>424000</v>
      </c>
      <c r="G30" s="25">
        <f>SUM(G31:G37)</f>
        <v>391000</v>
      </c>
      <c r="H30" s="25">
        <f t="shared" ref="H30:M30" si="14">SUM(H31:H37)</f>
        <v>351000</v>
      </c>
      <c r="I30" s="25">
        <f t="shared" si="14"/>
        <v>291000</v>
      </c>
      <c r="J30" s="25">
        <f t="shared" si="14"/>
        <v>223500</v>
      </c>
      <c r="K30" s="25">
        <f t="shared" si="14"/>
        <v>156000</v>
      </c>
      <c r="L30" s="25">
        <f t="shared" si="14"/>
        <v>94000</v>
      </c>
      <c r="M30" s="25">
        <f t="shared" si="14"/>
        <v>27000</v>
      </c>
    </row>
    <row r="31" spans="1:13" s="37" customFormat="1" ht="11.25" hidden="1">
      <c r="A31" s="34"/>
      <c r="B31" s="35" t="s">
        <v>112</v>
      </c>
      <c r="C31" s="36">
        <v>1500</v>
      </c>
      <c r="D31" s="36">
        <v>174</v>
      </c>
      <c r="E31" s="36"/>
      <c r="F31" s="36"/>
      <c r="G31" s="36"/>
      <c r="H31" s="36"/>
      <c r="I31" s="36"/>
      <c r="J31" s="36"/>
      <c r="K31" s="36"/>
      <c r="L31" s="36"/>
      <c r="M31" s="36"/>
    </row>
    <row r="32" spans="1:13" s="37" customFormat="1" ht="11.25" hidden="1">
      <c r="A32" s="39"/>
      <c r="B32" s="35" t="s">
        <v>113</v>
      </c>
      <c r="C32" s="36">
        <v>15000</v>
      </c>
      <c r="D32" s="36">
        <v>13500</v>
      </c>
      <c r="E32" s="36">
        <v>1900</v>
      </c>
      <c r="F32" s="36"/>
      <c r="G32" s="36"/>
      <c r="H32" s="36"/>
      <c r="I32" s="36"/>
      <c r="J32" s="36"/>
      <c r="K32" s="36"/>
      <c r="L32" s="36"/>
      <c r="M32" s="36"/>
    </row>
    <row r="33" spans="1:13" s="37" customFormat="1" ht="11.25" hidden="1">
      <c r="A33" s="39"/>
      <c r="B33" s="35" t="s">
        <v>114</v>
      </c>
      <c r="C33" s="36">
        <v>63000</v>
      </c>
      <c r="D33" s="36">
        <v>26000</v>
      </c>
      <c r="E33" s="36">
        <v>12000</v>
      </c>
      <c r="F33" s="36"/>
      <c r="G33" s="36"/>
      <c r="H33" s="36"/>
      <c r="I33" s="36"/>
      <c r="J33" s="36"/>
      <c r="K33" s="36"/>
      <c r="L33" s="36"/>
      <c r="M33" s="36"/>
    </row>
    <row r="34" spans="1:13" s="37" customFormat="1" ht="11.25" hidden="1">
      <c r="A34" s="38"/>
      <c r="B34" s="35" t="s">
        <v>115</v>
      </c>
      <c r="C34" s="36">
        <v>300000</v>
      </c>
      <c r="D34" s="36">
        <v>308000</v>
      </c>
      <c r="E34" s="36">
        <v>296000</v>
      </c>
      <c r="F34" s="36">
        <v>259000</v>
      </c>
      <c r="G34" s="36">
        <v>226000</v>
      </c>
      <c r="H34" s="36">
        <v>191000</v>
      </c>
      <c r="I34" s="36">
        <v>156000</v>
      </c>
      <c r="J34" s="36">
        <v>123500</v>
      </c>
      <c r="K34" s="36">
        <v>91000</v>
      </c>
      <c r="L34" s="36">
        <v>59000</v>
      </c>
      <c r="M34" s="36">
        <v>27000</v>
      </c>
    </row>
    <row r="35" spans="1:13" s="37" customFormat="1" ht="11.25" hidden="1">
      <c r="A35" s="38"/>
      <c r="B35" s="35" t="s">
        <v>126</v>
      </c>
      <c r="C35" s="36"/>
      <c r="D35" s="36">
        <v>150000</v>
      </c>
      <c r="E35" s="36">
        <v>150000</v>
      </c>
      <c r="F35" s="36">
        <v>145000</v>
      </c>
      <c r="G35" s="36">
        <v>145000</v>
      </c>
      <c r="H35" s="36">
        <v>145000</v>
      </c>
      <c r="I35" s="36">
        <v>125000</v>
      </c>
      <c r="J35" s="36">
        <v>95000</v>
      </c>
      <c r="K35" s="36">
        <v>65000</v>
      </c>
      <c r="L35" s="36">
        <v>35000</v>
      </c>
      <c r="M35" s="36"/>
    </row>
    <row r="36" spans="1:13" s="37" customFormat="1" ht="11.25" hidden="1">
      <c r="A36" s="38"/>
      <c r="B36" s="35" t="s">
        <v>128</v>
      </c>
      <c r="C36" s="36"/>
      <c r="D36" s="36"/>
      <c r="E36" s="36">
        <v>22000</v>
      </c>
      <c r="F36" s="36">
        <v>20000</v>
      </c>
      <c r="G36" s="36">
        <v>20000</v>
      </c>
      <c r="H36" s="36">
        <v>15000</v>
      </c>
      <c r="I36" s="36">
        <v>10000</v>
      </c>
      <c r="J36" s="36">
        <v>5000</v>
      </c>
      <c r="K36" s="36"/>
      <c r="L36" s="36"/>
      <c r="M36" s="36"/>
    </row>
    <row r="37" spans="1:13" s="37" customFormat="1" ht="11.25" hidden="1">
      <c r="A37" s="38"/>
      <c r="B37" s="35" t="s">
        <v>116</v>
      </c>
      <c r="C37" s="36">
        <v>15000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s="2" customFormat="1">
      <c r="A38" s="7" t="s">
        <v>41</v>
      </c>
      <c r="B38" s="18" t="s">
        <v>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</row>
    <row r="39" spans="1:13" s="2" customFormat="1">
      <c r="A39" s="7" t="s">
        <v>42</v>
      </c>
      <c r="B39" s="18" t="s">
        <v>4</v>
      </c>
      <c r="C39" s="30">
        <f>C21-C22-C38</f>
        <v>4197413</v>
      </c>
      <c r="D39" s="30">
        <f t="shared" ref="D39:G39" si="15">D21-D22-D38</f>
        <v>2248523</v>
      </c>
      <c r="E39" s="30">
        <f t="shared" si="15"/>
        <v>1754242.0700000003</v>
      </c>
      <c r="F39" s="30">
        <f t="shared" si="15"/>
        <v>1445190.3121000007</v>
      </c>
      <c r="G39" s="30">
        <f t="shared" si="15"/>
        <v>920966.02146300115</v>
      </c>
      <c r="H39" s="30">
        <f t="shared" ref="H39:M39" si="16">H21-H22-H38</f>
        <v>715325.00210689008</v>
      </c>
      <c r="I39" s="30">
        <f t="shared" si="16"/>
        <v>631314.75217009708</v>
      </c>
      <c r="J39" s="30">
        <f t="shared" si="16"/>
        <v>756484.19473519921</v>
      </c>
      <c r="K39" s="30">
        <f t="shared" si="16"/>
        <v>883383.72057725489</v>
      </c>
      <c r="L39" s="30">
        <f t="shared" si="16"/>
        <v>806565.23219457269</v>
      </c>
      <c r="M39" s="30">
        <f t="shared" si="16"/>
        <v>1736582.1891604066</v>
      </c>
    </row>
    <row r="40" spans="1:13" s="2" customFormat="1">
      <c r="A40" s="7" t="s">
        <v>21</v>
      </c>
      <c r="B40" s="23" t="s">
        <v>94</v>
      </c>
      <c r="C40" s="31">
        <v>7287413</v>
      </c>
      <c r="D40" s="31">
        <v>2648523</v>
      </c>
      <c r="E40" s="31">
        <v>1754242</v>
      </c>
      <c r="F40" s="31">
        <f>F39</f>
        <v>1445190.3121000007</v>
      </c>
      <c r="G40" s="31">
        <f t="shared" ref="G40:M40" si="17">G39</f>
        <v>920966.02146300115</v>
      </c>
      <c r="H40" s="31">
        <f t="shared" si="17"/>
        <v>715325.00210689008</v>
      </c>
      <c r="I40" s="31">
        <f t="shared" si="17"/>
        <v>631314.75217009708</v>
      </c>
      <c r="J40" s="31">
        <f t="shared" si="17"/>
        <v>756484.19473519921</v>
      </c>
      <c r="K40" s="31">
        <f t="shared" si="17"/>
        <v>883383.72057725489</v>
      </c>
      <c r="L40" s="31">
        <f t="shared" si="17"/>
        <v>806565.23219457269</v>
      </c>
      <c r="M40" s="31">
        <f t="shared" si="17"/>
        <v>1736582.1891604066</v>
      </c>
    </row>
    <row r="41" spans="1:13" s="2" customFormat="1">
      <c r="A41" s="9" t="s">
        <v>22</v>
      </c>
      <c r="B41" s="24" t="s">
        <v>17</v>
      </c>
      <c r="C41" s="31">
        <v>4410388</v>
      </c>
      <c r="D41" s="31">
        <v>2648523</v>
      </c>
      <c r="E41" s="31">
        <v>1754242</v>
      </c>
      <c r="F41" s="31">
        <v>10000</v>
      </c>
      <c r="G41" s="31">
        <v>10000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</row>
    <row r="42" spans="1:13" s="2" customFormat="1">
      <c r="A42" s="7" t="s">
        <v>23</v>
      </c>
      <c r="B42" s="23" t="s">
        <v>95</v>
      </c>
      <c r="C42" s="25">
        <v>3090000</v>
      </c>
      <c r="D42" s="25">
        <v>400000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</row>
    <row r="43" spans="1:13" s="2" customFormat="1">
      <c r="A43" s="7" t="s">
        <v>24</v>
      </c>
      <c r="B43" s="8" t="s">
        <v>96</v>
      </c>
      <c r="C43" s="26">
        <f>C39-C40+C42</f>
        <v>0</v>
      </c>
      <c r="D43" s="26">
        <f t="shared" ref="D43:G43" si="18">D39-D40+D42</f>
        <v>0</v>
      </c>
      <c r="E43" s="26">
        <f t="shared" si="18"/>
        <v>7.0000000298023224E-2</v>
      </c>
      <c r="F43" s="26">
        <f t="shared" si="18"/>
        <v>0</v>
      </c>
      <c r="G43" s="26">
        <f t="shared" si="18"/>
        <v>0</v>
      </c>
      <c r="H43" s="26">
        <f t="shared" ref="H43:M43" si="19">H39-H40+H42</f>
        <v>0</v>
      </c>
      <c r="I43" s="26">
        <f t="shared" si="19"/>
        <v>0</v>
      </c>
      <c r="J43" s="26">
        <f t="shared" si="19"/>
        <v>0</v>
      </c>
      <c r="K43" s="26">
        <f t="shared" si="19"/>
        <v>0</v>
      </c>
      <c r="L43" s="26">
        <f t="shared" si="19"/>
        <v>0</v>
      </c>
      <c r="M43" s="26">
        <f t="shared" si="19"/>
        <v>0</v>
      </c>
    </row>
    <row r="44" spans="1:13" s="2" customFormat="1">
      <c r="A44" s="12" t="s">
        <v>5</v>
      </c>
      <c r="B44" s="13" t="s">
        <v>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s="2" customFormat="1">
      <c r="A45" s="7" t="s">
        <v>25</v>
      </c>
      <c r="B45" s="8" t="s">
        <v>97</v>
      </c>
      <c r="C45" s="25">
        <f>6485635+C42</f>
        <v>9575635</v>
      </c>
      <c r="D45" s="25">
        <f>C45-D23+D42</f>
        <v>9273863</v>
      </c>
      <c r="E45" s="25">
        <f>D45-E23+E42</f>
        <v>8190000</v>
      </c>
      <c r="F45" s="25">
        <f t="shared" ref="F45:M45" si="20">E45-F23+F42</f>
        <v>8000000</v>
      </c>
      <c r="G45" s="25">
        <f t="shared" si="20"/>
        <v>7200000</v>
      </c>
      <c r="H45" s="25">
        <f t="shared" si="20"/>
        <v>6100000</v>
      </c>
      <c r="I45" s="25">
        <f t="shared" si="20"/>
        <v>4800000</v>
      </c>
      <c r="J45" s="25">
        <f t="shared" si="20"/>
        <v>3500000</v>
      </c>
      <c r="K45" s="25">
        <f t="shared" si="20"/>
        <v>2200000</v>
      </c>
      <c r="L45" s="25">
        <f t="shared" si="20"/>
        <v>700000</v>
      </c>
      <c r="M45" s="25">
        <f t="shared" si="20"/>
        <v>0</v>
      </c>
    </row>
    <row r="46" spans="1:13" s="46" customFormat="1" ht="27">
      <c r="A46" s="49" t="s">
        <v>18</v>
      </c>
      <c r="B46" s="48" t="s">
        <v>129</v>
      </c>
      <c r="C46" s="47">
        <v>2495759</v>
      </c>
      <c r="D46" s="47">
        <v>357000</v>
      </c>
      <c r="E46" s="47">
        <v>357000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s="2" customFormat="1" ht="25.5">
      <c r="A47" s="9" t="s">
        <v>19</v>
      </c>
      <c r="B47" s="11" t="s">
        <v>62</v>
      </c>
      <c r="C47" s="25">
        <v>400000</v>
      </c>
      <c r="D47" s="25">
        <v>0</v>
      </c>
      <c r="E47" s="25">
        <v>357000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1:13" s="2" customFormat="1" ht="39.75">
      <c r="A48" s="7" t="s">
        <v>6</v>
      </c>
      <c r="B48" s="8" t="s">
        <v>98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</row>
    <row r="49" spans="1:13" s="2" customFormat="1">
      <c r="A49" s="7" t="s">
        <v>7</v>
      </c>
      <c r="B49" s="8" t="s">
        <v>99</v>
      </c>
      <c r="C49" s="42">
        <f>C22/C7</f>
        <v>8.0286747946735681E-2</v>
      </c>
      <c r="D49" s="42">
        <f t="shared" ref="D49:G49" si="21">D22/D7</f>
        <v>7.3136951219512192E-2</v>
      </c>
      <c r="E49" s="42">
        <f t="shared" si="21"/>
        <v>9.3980005638453407E-2</v>
      </c>
      <c r="F49" s="42">
        <f t="shared" si="21"/>
        <v>3.8860759493670884E-2</v>
      </c>
      <c r="G49" s="42">
        <f t="shared" si="21"/>
        <v>7.3224715647094984E-2</v>
      </c>
      <c r="H49" s="42">
        <f t="shared" ref="H49:M49" si="22">H22/H7</f>
        <v>8.6658166083869101E-2</v>
      </c>
      <c r="I49" s="42">
        <f t="shared" si="22"/>
        <v>9.2300006813724578E-2</v>
      </c>
      <c r="J49" s="42">
        <f t="shared" si="22"/>
        <v>8.5853300252325779E-2</v>
      </c>
      <c r="K49" s="42">
        <f t="shared" si="22"/>
        <v>7.9698947509356119E-2</v>
      </c>
      <c r="L49" s="42">
        <f t="shared" si="22"/>
        <v>8.4752023200515419E-2</v>
      </c>
      <c r="M49" s="42">
        <f t="shared" si="22"/>
        <v>3.7545747749164693E-2</v>
      </c>
    </row>
    <row r="50" spans="1:13" s="2" customFormat="1" ht="18.75" customHeight="1">
      <c r="A50" s="9" t="s">
        <v>18</v>
      </c>
      <c r="B50" s="11" t="s">
        <v>100</v>
      </c>
      <c r="C50" s="42">
        <f>SUM(Arkusz2!C8:E8)/3</f>
        <v>3.3079221695692933E-2</v>
      </c>
      <c r="D50" s="42">
        <f>(SUM(Arkusz2!D8:E8)+((C8+C10-C54)/C7))/3</f>
        <v>-4.3309837687915843E-3</v>
      </c>
      <c r="E50" s="42">
        <f>(Arkusz2!E8+((C8+C10-C54)/C7)+((D8+D10-D54)/D7))/3</f>
        <v>1.8740833782484219E-3</v>
      </c>
      <c r="F50" s="42">
        <f>((C8+C10-C54)/C7+(D8+D10-D54)/D7+(E8+E10-E54)/E7)/3</f>
        <v>4.3463658582633811E-2</v>
      </c>
      <c r="G50" s="42">
        <f t="shared" ref="G50:M50" si="23">((D8+D10-D54)/D7+(E8+E10-E54)/E7+(F8+F10-F54)/F7)/3</f>
        <v>7.4486915130823297E-2</v>
      </c>
      <c r="H50" s="42">
        <f t="shared" si="23"/>
        <v>9.6538847902065392E-2</v>
      </c>
      <c r="I50" s="42">
        <f t="shared" si="23"/>
        <v>0.10590592058154026</v>
      </c>
      <c r="J50" s="42">
        <f t="shared" si="23"/>
        <v>0.10875589123725793</v>
      </c>
      <c r="K50" s="42">
        <f t="shared" si="23"/>
        <v>0.11211604219051256</v>
      </c>
      <c r="L50" s="42">
        <f t="shared" si="23"/>
        <v>0.11581534739941983</v>
      </c>
      <c r="M50" s="42">
        <f t="shared" si="23"/>
        <v>0.11934725379394613</v>
      </c>
    </row>
    <row r="51" spans="1:13" s="2" customFormat="1" ht="30.75" customHeight="1">
      <c r="A51" s="7" t="s">
        <v>26</v>
      </c>
      <c r="B51" s="8" t="s">
        <v>101</v>
      </c>
      <c r="C51" s="25" t="str">
        <f>IF(C49&lt;=C50,"Zgodny z art. 243","Niezgodny z art. 243")</f>
        <v>Niezgodny z art. 243</v>
      </c>
      <c r="D51" s="25" t="str">
        <f t="shared" ref="D51:M51" si="24">IF(D49&lt;=D50,"Zgodny z art. 243","Niezgodny z art. 243")</f>
        <v>Niezgodny z art. 243</v>
      </c>
      <c r="E51" s="25" t="str">
        <f t="shared" si="24"/>
        <v>Niezgodny z art. 243</v>
      </c>
      <c r="F51" s="25" t="str">
        <f t="shared" si="24"/>
        <v>Zgodny z art. 243</v>
      </c>
      <c r="G51" s="25" t="str">
        <f t="shared" si="24"/>
        <v>Zgodny z art. 243</v>
      </c>
      <c r="H51" s="25" t="str">
        <f t="shared" si="24"/>
        <v>Zgodny z art. 243</v>
      </c>
      <c r="I51" s="25" t="str">
        <f t="shared" si="24"/>
        <v>Zgodny z art. 243</v>
      </c>
      <c r="J51" s="25" t="str">
        <f t="shared" si="24"/>
        <v>Zgodny z art. 243</v>
      </c>
      <c r="K51" s="25" t="str">
        <f t="shared" si="24"/>
        <v>Zgodny z art. 243</v>
      </c>
      <c r="L51" s="25" t="str">
        <f t="shared" si="24"/>
        <v>Zgodny z art. 243</v>
      </c>
      <c r="M51" s="25" t="str">
        <f t="shared" si="24"/>
        <v>Zgodny z art. 243</v>
      </c>
    </row>
    <row r="52" spans="1:13" s="2" customFormat="1" ht="27">
      <c r="A52" s="7" t="s">
        <v>27</v>
      </c>
      <c r="B52" s="8" t="s">
        <v>102</v>
      </c>
      <c r="C52" s="41">
        <f>(C22-C47)/C7</f>
        <v>5.8342983560883771E-2</v>
      </c>
      <c r="D52" s="41">
        <f t="shared" ref="D52:E52" si="25">(D22-D47)/D7</f>
        <v>7.3136951219512192E-2</v>
      </c>
      <c r="E52" s="41">
        <f t="shared" si="25"/>
        <v>7.255220206094655E-2</v>
      </c>
      <c r="F52" s="33" t="s">
        <v>111</v>
      </c>
      <c r="G52" s="33" t="s">
        <v>111</v>
      </c>
      <c r="H52" s="33" t="s">
        <v>111</v>
      </c>
      <c r="I52" s="33" t="s">
        <v>111</v>
      </c>
      <c r="J52" s="33" t="s">
        <v>111</v>
      </c>
      <c r="K52" s="33" t="s">
        <v>111</v>
      </c>
      <c r="L52" s="33" t="s">
        <v>111</v>
      </c>
      <c r="M52" s="33" t="s">
        <v>111</v>
      </c>
    </row>
    <row r="53" spans="1:13" s="2" customFormat="1" ht="27">
      <c r="A53" s="7" t="s">
        <v>28</v>
      </c>
      <c r="B53" s="8" t="s">
        <v>103</v>
      </c>
      <c r="C53" s="41">
        <f>(C45-C46)/C7</f>
        <v>0.38839782706261922</v>
      </c>
      <c r="D53" s="41">
        <f t="shared" ref="D53:E53" si="26">(D45-D46)/D7</f>
        <v>0.54371115853658536</v>
      </c>
      <c r="E53" s="41">
        <f t="shared" si="26"/>
        <v>0.47015121967117984</v>
      </c>
      <c r="F53" s="33" t="s">
        <v>111</v>
      </c>
      <c r="G53" s="33" t="s">
        <v>111</v>
      </c>
      <c r="H53" s="33" t="s">
        <v>111</v>
      </c>
      <c r="I53" s="33" t="s">
        <v>111</v>
      </c>
      <c r="J53" s="33" t="s">
        <v>111</v>
      </c>
      <c r="K53" s="33" t="s">
        <v>111</v>
      </c>
      <c r="L53" s="33" t="s">
        <v>111</v>
      </c>
      <c r="M53" s="33" t="s">
        <v>111</v>
      </c>
    </row>
    <row r="54" spans="1:13" s="2" customFormat="1">
      <c r="A54" s="7" t="s">
        <v>29</v>
      </c>
      <c r="B54" s="8" t="s">
        <v>8</v>
      </c>
      <c r="C54" s="26">
        <f>C11+C30</f>
        <v>12962000</v>
      </c>
      <c r="D54" s="26">
        <f t="shared" ref="D54:G54" si="27">D11+D30</f>
        <v>13449705</v>
      </c>
      <c r="E54" s="26">
        <f t="shared" si="27"/>
        <v>13822491.93</v>
      </c>
      <c r="F54" s="26">
        <f t="shared" si="27"/>
        <v>14164809.687899999</v>
      </c>
      <c r="G54" s="26">
        <f t="shared" si="27"/>
        <v>14544033.978536999</v>
      </c>
      <c r="H54" s="26">
        <f t="shared" ref="H54:M54" si="28">H11+H30</f>
        <v>14928624.99789311</v>
      </c>
      <c r="I54" s="26">
        <f t="shared" si="28"/>
        <v>15305953.747829903</v>
      </c>
      <c r="J54" s="26">
        <f t="shared" si="28"/>
        <v>15688902.3602648</v>
      </c>
      <c r="K54" s="26">
        <f t="shared" si="28"/>
        <v>16085364.431072745</v>
      </c>
      <c r="L54" s="26">
        <f t="shared" si="28"/>
        <v>16501245.364004929</v>
      </c>
      <c r="M54" s="26">
        <f t="shared" si="28"/>
        <v>16926462.724925078</v>
      </c>
    </row>
    <row r="55" spans="1:13" s="2" customFormat="1">
      <c r="A55" s="7" t="s">
        <v>30</v>
      </c>
      <c r="B55" s="8" t="s">
        <v>9</v>
      </c>
      <c r="C55" s="26">
        <f>C40+C54</f>
        <v>20249413</v>
      </c>
      <c r="D55" s="26">
        <f t="shared" ref="D55:G55" si="29">D40+D54</f>
        <v>16098228</v>
      </c>
      <c r="E55" s="26">
        <f t="shared" si="29"/>
        <v>15576733.93</v>
      </c>
      <c r="F55" s="26">
        <f t="shared" si="29"/>
        <v>15610000</v>
      </c>
      <c r="G55" s="26">
        <f t="shared" si="29"/>
        <v>15465000</v>
      </c>
      <c r="H55" s="26">
        <f t="shared" ref="H55:M55" si="30">H40+H54</f>
        <v>15643950</v>
      </c>
      <c r="I55" s="26">
        <f t="shared" si="30"/>
        <v>15937268.5</v>
      </c>
      <c r="J55" s="26">
        <f t="shared" si="30"/>
        <v>16445386.555</v>
      </c>
      <c r="K55" s="26">
        <f t="shared" si="30"/>
        <v>16968748.15165</v>
      </c>
      <c r="L55" s="26">
        <f t="shared" si="30"/>
        <v>17307810.596199501</v>
      </c>
      <c r="M55" s="26">
        <f t="shared" si="30"/>
        <v>18663044.914085485</v>
      </c>
    </row>
    <row r="56" spans="1:13" s="2" customFormat="1">
      <c r="A56" s="7" t="s">
        <v>31</v>
      </c>
      <c r="B56" s="8" t="s">
        <v>10</v>
      </c>
      <c r="C56" s="26">
        <f>C7-C55</f>
        <v>-2021000</v>
      </c>
      <c r="D56" s="26">
        <f t="shared" ref="D56:G56" si="31">D7-D55</f>
        <v>301772</v>
      </c>
      <c r="E56" s="26">
        <f t="shared" si="31"/>
        <v>1083863.0700000003</v>
      </c>
      <c r="F56" s="26">
        <f t="shared" si="31"/>
        <v>190000</v>
      </c>
      <c r="G56" s="26">
        <f t="shared" si="31"/>
        <v>800000</v>
      </c>
      <c r="H56" s="26">
        <f t="shared" ref="H56:M56" si="32">H7-H55</f>
        <v>1100000</v>
      </c>
      <c r="I56" s="26">
        <f t="shared" si="32"/>
        <v>1300000</v>
      </c>
      <c r="J56" s="26">
        <f t="shared" si="32"/>
        <v>1300000</v>
      </c>
      <c r="K56" s="26">
        <f t="shared" si="32"/>
        <v>1300000</v>
      </c>
      <c r="L56" s="26">
        <f t="shared" si="32"/>
        <v>1500000</v>
      </c>
      <c r="M56" s="26">
        <f t="shared" si="32"/>
        <v>700000</v>
      </c>
    </row>
    <row r="57" spans="1:13" s="2" customFormat="1">
      <c r="A57" s="7" t="s">
        <v>32</v>
      </c>
      <c r="B57" s="8" t="s">
        <v>11</v>
      </c>
      <c r="C57" s="26">
        <v>3090000</v>
      </c>
      <c r="D57" s="26">
        <v>400000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s="2" customFormat="1">
      <c r="A58" s="7" t="s">
        <v>33</v>
      </c>
      <c r="B58" s="8" t="s">
        <v>12</v>
      </c>
      <c r="C58" s="26">
        <f>C23+C38</f>
        <v>1069000</v>
      </c>
      <c r="D58" s="26">
        <f t="shared" ref="D58:G58" si="33">D23+D38</f>
        <v>701772</v>
      </c>
      <c r="E58" s="26">
        <f t="shared" si="33"/>
        <v>1083863</v>
      </c>
      <c r="F58" s="26">
        <f t="shared" si="33"/>
        <v>190000</v>
      </c>
      <c r="G58" s="26">
        <f t="shared" si="33"/>
        <v>800000</v>
      </c>
      <c r="H58" s="26">
        <f t="shared" ref="H58:M58" si="34">H23+H38</f>
        <v>1100000</v>
      </c>
      <c r="I58" s="26">
        <f t="shared" si="34"/>
        <v>1300000</v>
      </c>
      <c r="J58" s="26">
        <f t="shared" si="34"/>
        <v>1300000</v>
      </c>
      <c r="K58" s="26">
        <f t="shared" si="34"/>
        <v>1300000</v>
      </c>
      <c r="L58" s="26">
        <f t="shared" si="34"/>
        <v>1500000</v>
      </c>
      <c r="M58" s="26">
        <f t="shared" si="34"/>
        <v>700000</v>
      </c>
    </row>
    <row r="59" spans="1:13" hidden="1">
      <c r="C59" s="44">
        <f>C56+C57-C58</f>
        <v>0</v>
      </c>
      <c r="D59" s="44">
        <f t="shared" ref="D59:M59" si="35">D56+D57-D58</f>
        <v>0</v>
      </c>
      <c r="E59" s="44">
        <f t="shared" si="35"/>
        <v>7.0000000298023224E-2</v>
      </c>
      <c r="F59" s="44">
        <f t="shared" si="35"/>
        <v>0</v>
      </c>
      <c r="G59" s="44">
        <f t="shared" si="35"/>
        <v>0</v>
      </c>
      <c r="H59" s="44">
        <f t="shared" si="35"/>
        <v>0</v>
      </c>
      <c r="I59" s="44">
        <f t="shared" si="35"/>
        <v>0</v>
      </c>
      <c r="J59" s="44">
        <f t="shared" si="35"/>
        <v>0</v>
      </c>
      <c r="K59" s="44">
        <f t="shared" si="35"/>
        <v>0</v>
      </c>
      <c r="L59" s="44">
        <f t="shared" si="35"/>
        <v>0</v>
      </c>
      <c r="M59" s="44">
        <f t="shared" si="35"/>
        <v>0</v>
      </c>
    </row>
    <row r="60" spans="1:13" s="2" customFormat="1" ht="42.75" customHeight="1">
      <c r="A60" s="14" t="s">
        <v>43</v>
      </c>
      <c r="B60" s="50" t="s">
        <v>79</v>
      </c>
      <c r="C60" s="50"/>
      <c r="D60" s="50"/>
      <c r="E60" s="50"/>
      <c r="F60" s="50"/>
      <c r="G60" s="50"/>
      <c r="H60" s="50"/>
    </row>
    <row r="61" spans="1:13" s="2" customFormat="1" ht="16.5">
      <c r="A61" s="14" t="s">
        <v>44</v>
      </c>
      <c r="B61" s="50" t="s">
        <v>63</v>
      </c>
      <c r="C61" s="50"/>
      <c r="D61" s="50"/>
      <c r="E61" s="50"/>
      <c r="F61" s="50"/>
      <c r="G61" s="50"/>
      <c r="H61" s="50"/>
    </row>
    <row r="62" spans="1:13" s="2" customFormat="1" ht="15.75" customHeight="1">
      <c r="A62" s="14" t="s">
        <v>45</v>
      </c>
      <c r="B62" s="50" t="s">
        <v>67</v>
      </c>
      <c r="C62" s="50"/>
      <c r="D62" s="50"/>
      <c r="E62" s="50"/>
      <c r="F62" s="50"/>
      <c r="G62" s="50"/>
      <c r="H62" s="50"/>
    </row>
    <row r="63" spans="1:13" s="2" customFormat="1" ht="16.5">
      <c r="A63" s="14" t="s">
        <v>46</v>
      </c>
      <c r="B63" s="50" t="s">
        <v>68</v>
      </c>
      <c r="C63" s="50"/>
      <c r="D63" s="50"/>
      <c r="E63" s="50"/>
      <c r="F63" s="50"/>
      <c r="G63" s="50"/>
      <c r="H63" s="50"/>
    </row>
    <row r="64" spans="1:13" s="2" customFormat="1" ht="16.5">
      <c r="A64" s="14" t="s">
        <v>47</v>
      </c>
      <c r="B64" s="50" t="s">
        <v>69</v>
      </c>
      <c r="C64" s="50"/>
      <c r="D64" s="50"/>
      <c r="E64" s="50"/>
      <c r="F64" s="50"/>
      <c r="G64" s="50"/>
      <c r="H64" s="50"/>
    </row>
    <row r="65" spans="1:8" s="2" customFormat="1" ht="16.5">
      <c r="A65" s="14" t="s">
        <v>48</v>
      </c>
      <c r="B65" s="50" t="s">
        <v>64</v>
      </c>
      <c r="C65" s="50"/>
      <c r="D65" s="50"/>
      <c r="E65" s="50"/>
      <c r="F65" s="50"/>
      <c r="G65" s="50"/>
      <c r="H65" s="50"/>
    </row>
    <row r="66" spans="1:8" s="2" customFormat="1" ht="16.5">
      <c r="A66" s="14" t="s">
        <v>49</v>
      </c>
      <c r="B66" s="50" t="s">
        <v>70</v>
      </c>
      <c r="C66" s="50"/>
      <c r="D66" s="50"/>
      <c r="E66" s="50"/>
      <c r="F66" s="50"/>
      <c r="G66" s="50"/>
      <c r="H66" s="50"/>
    </row>
    <row r="67" spans="1:8" s="2" customFormat="1" ht="16.5">
      <c r="A67" s="14" t="s">
        <v>50</v>
      </c>
      <c r="B67" s="50" t="s">
        <v>71</v>
      </c>
      <c r="C67" s="50"/>
      <c r="D67" s="50"/>
      <c r="E67" s="50"/>
      <c r="F67" s="50"/>
      <c r="G67" s="50"/>
      <c r="H67" s="50"/>
    </row>
    <row r="68" spans="1:8" s="2" customFormat="1" ht="16.5">
      <c r="A68" s="14" t="s">
        <v>51</v>
      </c>
      <c r="B68" s="50" t="s">
        <v>72</v>
      </c>
      <c r="C68" s="50"/>
      <c r="D68" s="50"/>
      <c r="E68" s="50"/>
      <c r="F68" s="50"/>
      <c r="G68" s="50"/>
      <c r="H68" s="50"/>
    </row>
    <row r="69" spans="1:8" s="2" customFormat="1" ht="31.5" customHeight="1">
      <c r="A69" s="14" t="s">
        <v>52</v>
      </c>
      <c r="B69" s="50" t="s">
        <v>73</v>
      </c>
      <c r="C69" s="50"/>
      <c r="D69" s="50"/>
      <c r="E69" s="50"/>
      <c r="F69" s="50"/>
      <c r="G69" s="50"/>
      <c r="H69" s="50"/>
    </row>
    <row r="70" spans="1:8" s="2" customFormat="1" ht="43.5" customHeight="1">
      <c r="A70" s="14" t="s">
        <v>53</v>
      </c>
      <c r="B70" s="50" t="s">
        <v>80</v>
      </c>
      <c r="C70" s="50"/>
      <c r="D70" s="50"/>
      <c r="E70" s="50"/>
      <c r="F70" s="50"/>
      <c r="G70" s="50"/>
      <c r="H70" s="50"/>
    </row>
    <row r="71" spans="1:8" s="2" customFormat="1" ht="16.5">
      <c r="A71" s="14" t="s">
        <v>54</v>
      </c>
      <c r="B71" s="50" t="s">
        <v>74</v>
      </c>
      <c r="C71" s="50"/>
      <c r="D71" s="50"/>
      <c r="E71" s="50"/>
      <c r="F71" s="50"/>
      <c r="G71" s="50"/>
      <c r="H71" s="50"/>
    </row>
    <row r="72" spans="1:8" s="2" customFormat="1" ht="16.5">
      <c r="A72" s="14" t="s">
        <v>55</v>
      </c>
      <c r="B72" s="50" t="s">
        <v>65</v>
      </c>
      <c r="C72" s="50"/>
      <c r="D72" s="50"/>
      <c r="E72" s="50"/>
      <c r="F72" s="50"/>
      <c r="G72" s="50"/>
      <c r="H72" s="50"/>
    </row>
    <row r="73" spans="1:8" s="2" customFormat="1" ht="16.5">
      <c r="A73" s="14" t="s">
        <v>56</v>
      </c>
      <c r="B73" s="50" t="s">
        <v>75</v>
      </c>
      <c r="C73" s="50"/>
      <c r="D73" s="50"/>
      <c r="E73" s="50"/>
      <c r="F73" s="50"/>
      <c r="G73" s="50"/>
      <c r="H73" s="50"/>
    </row>
    <row r="74" spans="1:8" s="2" customFormat="1" ht="16.5">
      <c r="A74" s="14" t="s">
        <v>57</v>
      </c>
      <c r="B74" s="50" t="s">
        <v>76</v>
      </c>
      <c r="C74" s="50"/>
      <c r="D74" s="50"/>
      <c r="E74" s="50"/>
      <c r="F74" s="50"/>
      <c r="G74" s="50"/>
      <c r="H74" s="50"/>
    </row>
    <row r="75" spans="1:8" s="2" customFormat="1" ht="28.5" customHeight="1">
      <c r="A75" s="14" t="s">
        <v>58</v>
      </c>
      <c r="B75" s="50" t="s">
        <v>77</v>
      </c>
      <c r="C75" s="50"/>
      <c r="D75" s="50"/>
      <c r="E75" s="50"/>
      <c r="F75" s="50"/>
      <c r="G75" s="50"/>
      <c r="H75" s="50"/>
    </row>
    <row r="76" spans="1:8" s="2" customFormat="1" ht="16.5">
      <c r="A76" s="14" t="s">
        <v>59</v>
      </c>
      <c r="B76" s="50" t="s">
        <v>66</v>
      </c>
      <c r="C76" s="50"/>
      <c r="D76" s="50"/>
      <c r="E76" s="50"/>
      <c r="F76" s="50"/>
      <c r="G76" s="50"/>
      <c r="H76" s="50"/>
    </row>
    <row r="77" spans="1:8" s="2" customFormat="1" ht="16.5">
      <c r="A77" s="14" t="s">
        <v>60</v>
      </c>
      <c r="B77" s="50" t="s">
        <v>78</v>
      </c>
      <c r="C77" s="50"/>
      <c r="D77" s="50"/>
      <c r="E77" s="50"/>
      <c r="F77" s="50"/>
      <c r="G77" s="50"/>
      <c r="H77" s="50"/>
    </row>
    <row r="78" spans="1:8" s="2" customFormat="1">
      <c r="A78" s="15"/>
      <c r="B78" s="16"/>
      <c r="C78" s="17"/>
      <c r="D78" s="17"/>
      <c r="E78" s="17"/>
      <c r="F78" s="17"/>
      <c r="G78" s="17"/>
      <c r="H78" s="17"/>
    </row>
    <row r="79" spans="1:8" s="2" customFormat="1" ht="26.25" customHeight="1">
      <c r="A79" s="50" t="s">
        <v>108</v>
      </c>
      <c r="B79" s="50"/>
      <c r="C79" s="50"/>
      <c r="D79" s="50"/>
      <c r="E79" s="50"/>
      <c r="F79" s="50"/>
      <c r="G79" s="50"/>
      <c r="H79" s="50"/>
    </row>
    <row r="80" spans="1:8">
      <c r="A80" s="51" t="s">
        <v>109</v>
      </c>
      <c r="B80" s="51"/>
      <c r="C80" s="51"/>
      <c r="D80" s="51"/>
      <c r="E80" s="51"/>
      <c r="F80" s="51"/>
      <c r="G80" s="51"/>
      <c r="H80" s="51"/>
    </row>
    <row r="81" spans="2:2">
      <c r="B81" s="3"/>
    </row>
    <row r="82" spans="2:2">
      <c r="B82" s="3"/>
    </row>
  </sheetData>
  <mergeCells count="23">
    <mergeCell ref="K2:L2"/>
    <mergeCell ref="A1:B1"/>
    <mergeCell ref="B60:H60"/>
    <mergeCell ref="B61:H61"/>
    <mergeCell ref="A3:M3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7:H77"/>
    <mergeCell ref="A80:H80"/>
    <mergeCell ref="A79:H79"/>
    <mergeCell ref="B72:H72"/>
    <mergeCell ref="B73:H73"/>
    <mergeCell ref="B74:H74"/>
    <mergeCell ref="B75:H75"/>
    <mergeCell ref="B76:H76"/>
  </mergeCells>
  <pageMargins left="0.27559055118110237" right="0.27559055118110237" top="0.39370078740157483" bottom="0.35433070866141736" header="0.31496062992125984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D20" sqref="D20"/>
    </sheetView>
  </sheetViews>
  <sheetFormatPr defaultRowHeight="14.25"/>
  <cols>
    <col min="2" max="2" width="50.75" customWidth="1"/>
    <col min="3" max="3" width="14.25" customWidth="1"/>
    <col min="4" max="4" width="12.875" customWidth="1"/>
    <col min="5" max="5" width="14.25" customWidth="1"/>
  </cols>
  <sheetData>
    <row r="2" spans="2:5">
      <c r="C2">
        <v>2008</v>
      </c>
      <c r="D2">
        <v>2009</v>
      </c>
      <c r="E2" t="s">
        <v>118</v>
      </c>
    </row>
    <row r="3" spans="2:5">
      <c r="B3" s="8" t="s">
        <v>90</v>
      </c>
      <c r="C3">
        <v>14029985</v>
      </c>
      <c r="D3">
        <v>14230011.77</v>
      </c>
      <c r="E3">
        <v>19586791.199999999</v>
      </c>
    </row>
    <row r="4" spans="2:5">
      <c r="B4" s="10" t="s">
        <v>13</v>
      </c>
      <c r="C4">
        <v>13140171</v>
      </c>
      <c r="D4">
        <v>13426176</v>
      </c>
      <c r="E4" s="40">
        <v>13110955.199999999</v>
      </c>
    </row>
    <row r="5" spans="2:5">
      <c r="B5" s="11" t="s">
        <v>14</v>
      </c>
      <c r="D5">
        <v>803836</v>
      </c>
    </row>
    <row r="6" spans="2:5">
      <c r="B6" s="11" t="s">
        <v>88</v>
      </c>
      <c r="C6">
        <v>243478.44</v>
      </c>
      <c r="D6">
        <v>134056.76</v>
      </c>
      <c r="E6">
        <v>123500</v>
      </c>
    </row>
    <row r="7" spans="2:5">
      <c r="B7" s="8" t="s">
        <v>117</v>
      </c>
      <c r="C7">
        <v>11662817</v>
      </c>
      <c r="D7">
        <v>13260876.960000001</v>
      </c>
      <c r="E7">
        <v>14105150.199999999</v>
      </c>
    </row>
    <row r="8" spans="2:5">
      <c r="C8">
        <f>(C4-C7+C6)/C3</f>
        <v>0.12265390447673322</v>
      </c>
      <c r="D8">
        <f t="shared" ref="D8" si="0">(D4-D7+D6)/D3</f>
        <v>2.1036932705221445E-2</v>
      </c>
      <c r="E8">
        <f>(E4-E7+E6)/E3</f>
        <v>-4.4453172094875856E-2</v>
      </c>
    </row>
    <row r="10" spans="2:5">
      <c r="C10">
        <f>SUM(C8:E8)/3</f>
        <v>3.3079221695692933E-2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K7"/>
  <sheetViews>
    <sheetView workbookViewId="0">
      <selection activeCell="G7" sqref="G7:K7"/>
    </sheetView>
  </sheetViews>
  <sheetFormatPr defaultRowHeight="14.25"/>
  <sheetData>
    <row r="6" spans="5:11">
      <c r="E6" s="36">
        <v>90000</v>
      </c>
      <c r="F6" s="36">
        <v>100000</v>
      </c>
      <c r="G6" s="36">
        <v>400000</v>
      </c>
      <c r="H6" s="36">
        <v>600000</v>
      </c>
      <c r="I6" s="36">
        <v>600000</v>
      </c>
      <c r="J6" s="36">
        <v>600000</v>
      </c>
      <c r="K6" s="36">
        <v>700000</v>
      </c>
    </row>
    <row r="7" spans="5:11">
      <c r="E7">
        <f>SUM(E6:K6)*0.05</f>
        <v>154500</v>
      </c>
      <c r="F7">
        <f t="shared" ref="F7:K7" si="0">SUM(F6:L6)*0.05</f>
        <v>150000</v>
      </c>
      <c r="G7">
        <f t="shared" si="0"/>
        <v>145000</v>
      </c>
      <c r="H7">
        <f t="shared" si="0"/>
        <v>125000</v>
      </c>
      <c r="I7">
        <f t="shared" si="0"/>
        <v>95000</v>
      </c>
      <c r="J7">
        <f t="shared" si="0"/>
        <v>65000</v>
      </c>
      <c r="K7">
        <f t="shared" si="0"/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M_Bachta</cp:lastModifiedBy>
  <cp:lastPrinted>2010-11-18T11:40:02Z</cp:lastPrinted>
  <dcterms:created xsi:type="dcterms:W3CDTF">2010-10-07T05:45:12Z</dcterms:created>
  <dcterms:modified xsi:type="dcterms:W3CDTF">2011-01-11T08:20:11Z</dcterms:modified>
</cp:coreProperties>
</file>