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RIO" sheetId="7" r:id="rId1"/>
    <sheet name="Arkusz1" sheetId="1" r:id="rId2"/>
    <sheet name="Arkusz2" sheetId="2" r:id="rId3"/>
    <sheet name="Arkusz3" sheetId="3" r:id="rId4"/>
    <sheet name="Inf finansowa" sheetId="4" r:id="rId5"/>
    <sheet name="Arkusz5" sheetId="6" r:id="rId6"/>
  </sheets>
  <externalReferences>
    <externalReference r:id="rId7"/>
  </externalReferences>
  <definedNames>
    <definedName name="_xlnm.Print_Area" localSheetId="1">Arkusz1!$A$1:$Q$58</definedName>
    <definedName name="_xlnm.Print_Area" localSheetId="0">RIO!$A$1:$R$61</definedName>
    <definedName name="_xlnm.Print_Titles" localSheetId="4">'Inf finansowa'!$4:$5</definedName>
    <definedName name="_xlnm.Print_Titles" localSheetId="0">RIO!$4:$4</definedName>
  </definedNames>
  <calcPr calcId="125725"/>
</workbook>
</file>

<file path=xl/calcChain.xml><?xml version="1.0" encoding="utf-8"?>
<calcChain xmlns="http://schemas.openxmlformats.org/spreadsheetml/2006/main">
  <c r="Q15" i="7"/>
  <c r="N6"/>
  <c r="N15"/>
  <c r="N20"/>
  <c r="K20"/>
  <c r="K15"/>
  <c r="H15"/>
  <c r="E50" i="1"/>
  <c r="E47" i="7"/>
  <c r="E3" i="1"/>
  <c r="F3"/>
  <c r="G3"/>
  <c r="H3"/>
  <c r="E11"/>
  <c r="E12"/>
  <c r="D12"/>
  <c r="L41" i="7"/>
  <c r="M41"/>
  <c r="N41"/>
  <c r="O41"/>
  <c r="P41"/>
  <c r="Q41"/>
  <c r="R41"/>
  <c r="S51"/>
  <c r="R55" l="1"/>
  <c r="R56"/>
  <c r="M55"/>
  <c r="N55"/>
  <c r="O55"/>
  <c r="P55"/>
  <c r="Q55"/>
  <c r="M56"/>
  <c r="N56"/>
  <c r="O56"/>
  <c r="P56"/>
  <c r="Q56"/>
  <c r="E54"/>
  <c r="E53"/>
  <c r="F55"/>
  <c r="G55"/>
  <c r="H55"/>
  <c r="I55"/>
  <c r="J55"/>
  <c r="K55"/>
  <c r="L55"/>
  <c r="F56"/>
  <c r="G56"/>
  <c r="H56"/>
  <c r="I56"/>
  <c r="J56"/>
  <c r="K56"/>
  <c r="L56"/>
  <c r="E56"/>
  <c r="E55"/>
  <c r="F41"/>
  <c r="G41"/>
  <c r="H41"/>
  <c r="I41"/>
  <c r="J41"/>
  <c r="K41"/>
  <c r="E41"/>
  <c r="F39"/>
  <c r="G39"/>
  <c r="H39"/>
  <c r="E39"/>
  <c r="F37" l="1"/>
  <c r="G37"/>
  <c r="H37"/>
  <c r="I37"/>
  <c r="J37"/>
  <c r="K37"/>
  <c r="L37"/>
  <c r="M37"/>
  <c r="N37"/>
  <c r="O37"/>
  <c r="P37"/>
  <c r="Q37"/>
  <c r="R37"/>
  <c r="S37"/>
  <c r="T37"/>
  <c r="U37"/>
  <c r="V37"/>
  <c r="E37"/>
  <c r="G36"/>
  <c r="H36"/>
  <c r="I36"/>
  <c r="J36"/>
  <c r="K36"/>
  <c r="L36"/>
  <c r="M36"/>
  <c r="N36"/>
  <c r="O36"/>
  <c r="P36"/>
  <c r="Q36"/>
  <c r="Q35" s="1"/>
  <c r="R36"/>
  <c r="S36"/>
  <c r="T36"/>
  <c r="U36"/>
  <c r="V36"/>
  <c r="F38"/>
  <c r="G38"/>
  <c r="H38"/>
  <c r="I38"/>
  <c r="J38"/>
  <c r="K38"/>
  <c r="L38"/>
  <c r="M38"/>
  <c r="N38"/>
  <c r="O38"/>
  <c r="P38"/>
  <c r="S38"/>
  <c r="T38"/>
  <c r="U38"/>
  <c r="V38"/>
  <c r="E38"/>
  <c r="E36"/>
  <c r="F29"/>
  <c r="G29"/>
  <c r="H29"/>
  <c r="I29"/>
  <c r="J29"/>
  <c r="K29"/>
  <c r="L29"/>
  <c r="M29"/>
  <c r="N29"/>
  <c r="O29"/>
  <c r="P29"/>
  <c r="Q29"/>
  <c r="R29"/>
  <c r="S29"/>
  <c r="T29"/>
  <c r="U29"/>
  <c r="V29"/>
  <c r="F30"/>
  <c r="G30"/>
  <c r="H30"/>
  <c r="I30"/>
  <c r="J30"/>
  <c r="K30"/>
  <c r="L30"/>
  <c r="M30"/>
  <c r="N30"/>
  <c r="O30"/>
  <c r="P30"/>
  <c r="Q30"/>
  <c r="R30"/>
  <c r="S30"/>
  <c r="T30"/>
  <c r="U30"/>
  <c r="V30"/>
  <c r="F31"/>
  <c r="G31"/>
  <c r="H31"/>
  <c r="I31"/>
  <c r="J31"/>
  <c r="K31"/>
  <c r="L31"/>
  <c r="M31"/>
  <c r="N31"/>
  <c r="O31"/>
  <c r="P31"/>
  <c r="Q31"/>
  <c r="R31"/>
  <c r="S31"/>
  <c r="T31"/>
  <c r="U31"/>
  <c r="V31"/>
  <c r="F33"/>
  <c r="G33"/>
  <c r="H33"/>
  <c r="I33"/>
  <c r="J33"/>
  <c r="K33"/>
  <c r="L33"/>
  <c r="M33"/>
  <c r="N33"/>
  <c r="O33"/>
  <c r="P33"/>
  <c r="Q33"/>
  <c r="R33"/>
  <c r="S33"/>
  <c r="T33"/>
  <c r="U33"/>
  <c r="E33"/>
  <c r="E31"/>
  <c r="E30"/>
  <c r="E29"/>
  <c r="S23"/>
  <c r="T23"/>
  <c r="U23"/>
  <c r="V23"/>
  <c r="E23"/>
  <c r="G22"/>
  <c r="H22"/>
  <c r="I22"/>
  <c r="J22"/>
  <c r="K22"/>
  <c r="L22"/>
  <c r="M22"/>
  <c r="N22"/>
  <c r="O22"/>
  <c r="P22"/>
  <c r="Q22"/>
  <c r="R22"/>
  <c r="S22"/>
  <c r="T22"/>
  <c r="E22"/>
  <c r="G20"/>
  <c r="I20"/>
  <c r="J20"/>
  <c r="L20"/>
  <c r="M20"/>
  <c r="O20"/>
  <c r="P20"/>
  <c r="R20"/>
  <c r="S20"/>
  <c r="T20"/>
  <c r="U20"/>
  <c r="V20"/>
  <c r="E20"/>
  <c r="S35" l="1"/>
  <c r="U35"/>
  <c r="M35"/>
  <c r="I35"/>
  <c r="V35"/>
  <c r="T35"/>
  <c r="R35"/>
  <c r="P35"/>
  <c r="N35"/>
  <c r="L35"/>
  <c r="J35"/>
  <c r="H35"/>
  <c r="V28"/>
  <c r="T28"/>
  <c r="R28"/>
  <c r="P28"/>
  <c r="N28"/>
  <c r="L28"/>
  <c r="J28"/>
  <c r="H28"/>
  <c r="F28"/>
  <c r="U28"/>
  <c r="S28"/>
  <c r="Q28"/>
  <c r="O28"/>
  <c r="M28"/>
  <c r="K28"/>
  <c r="I28"/>
  <c r="G28"/>
  <c r="O35"/>
  <c r="K35"/>
  <c r="G35"/>
  <c r="S17"/>
  <c r="T17"/>
  <c r="U17"/>
  <c r="V17"/>
  <c r="F18"/>
  <c r="G18"/>
  <c r="H18"/>
  <c r="I18"/>
  <c r="J18"/>
  <c r="K18"/>
  <c r="L18"/>
  <c r="M18"/>
  <c r="N18"/>
  <c r="O18"/>
  <c r="P18"/>
  <c r="Q18"/>
  <c r="R18"/>
  <c r="S18"/>
  <c r="T18"/>
  <c r="U18"/>
  <c r="V18"/>
  <c r="E18"/>
  <c r="F15"/>
  <c r="S15"/>
  <c r="S14" s="1"/>
  <c r="S13" s="1"/>
  <c r="T15"/>
  <c r="T14" s="1"/>
  <c r="T13" s="1"/>
  <c r="U15"/>
  <c r="U14" s="1"/>
  <c r="E15"/>
  <c r="E14" s="1"/>
  <c r="F11"/>
  <c r="G11"/>
  <c r="H11"/>
  <c r="I11"/>
  <c r="J11"/>
  <c r="K11"/>
  <c r="L11"/>
  <c r="M11"/>
  <c r="N11"/>
  <c r="O11"/>
  <c r="P11"/>
  <c r="Q11"/>
  <c r="R11"/>
  <c r="S11"/>
  <c r="T11"/>
  <c r="E11"/>
  <c r="F9"/>
  <c r="G9"/>
  <c r="H9"/>
  <c r="I9"/>
  <c r="J9"/>
  <c r="K9"/>
  <c r="L9"/>
  <c r="M9"/>
  <c r="N9"/>
  <c r="N5" s="1"/>
  <c r="N50" s="1"/>
  <c r="O9"/>
  <c r="P9"/>
  <c r="Q9"/>
  <c r="R9"/>
  <c r="R5" s="1"/>
  <c r="R50" s="1"/>
  <c r="S9"/>
  <c r="T9"/>
  <c r="T5" s="1"/>
  <c r="E9"/>
  <c r="F6"/>
  <c r="G6"/>
  <c r="H6"/>
  <c r="H5" s="1"/>
  <c r="H48" s="1"/>
  <c r="I6"/>
  <c r="J6"/>
  <c r="J5" s="1"/>
  <c r="J50" s="1"/>
  <c r="K6"/>
  <c r="L6"/>
  <c r="L5" s="1"/>
  <c r="L48" s="1"/>
  <c r="M6"/>
  <c r="O6"/>
  <c r="P6"/>
  <c r="Q6"/>
  <c r="Q5" s="1"/>
  <c r="R6"/>
  <c r="S6"/>
  <c r="S5" s="1"/>
  <c r="T6"/>
  <c r="E6"/>
  <c r="V14"/>
  <c r="W14"/>
  <c r="W13" s="1"/>
  <c r="X14"/>
  <c r="X13" s="1"/>
  <c r="Y14"/>
  <c r="Y13" s="1"/>
  <c r="Z14"/>
  <c r="Z13" s="1"/>
  <c r="AA14"/>
  <c r="AA13" s="1"/>
  <c r="AB14"/>
  <c r="AB13" s="1"/>
  <c r="E35"/>
  <c r="E28"/>
  <c r="W5"/>
  <c r="V5"/>
  <c r="U5"/>
  <c r="O5"/>
  <c r="O48" s="1"/>
  <c r="M5"/>
  <c r="M48" s="1"/>
  <c r="K5"/>
  <c r="K48" s="1"/>
  <c r="I5"/>
  <c r="I48" s="1"/>
  <c r="G5"/>
  <c r="G48" s="1"/>
  <c r="F7" i="1"/>
  <c r="G36"/>
  <c r="H36"/>
  <c r="I36"/>
  <c r="J36"/>
  <c r="K36"/>
  <c r="L36"/>
  <c r="M36"/>
  <c r="N36"/>
  <c r="O36"/>
  <c r="Q36"/>
  <c r="E36"/>
  <c r="P13"/>
  <c r="Q17" i="7" s="1"/>
  <c r="Q13" i="1"/>
  <c r="R17" i="7" s="1"/>
  <c r="P22" i="1"/>
  <c r="Q22"/>
  <c r="P34"/>
  <c r="Q34"/>
  <c r="P35"/>
  <c r="Q35"/>
  <c r="P58"/>
  <c r="Q58"/>
  <c r="F10"/>
  <c r="G15" i="7" s="1"/>
  <c r="G14" s="1"/>
  <c r="C45" i="1"/>
  <c r="D57"/>
  <c r="E28"/>
  <c r="E47"/>
  <c r="D46"/>
  <c r="P5" i="7" l="1"/>
  <c r="P48" s="1"/>
  <c r="S26"/>
  <c r="H50"/>
  <c r="J48"/>
  <c r="L50"/>
  <c r="N48"/>
  <c r="P50"/>
  <c r="R48"/>
  <c r="U13"/>
  <c r="U27"/>
  <c r="V13"/>
  <c r="V26" s="1"/>
  <c r="V27"/>
  <c r="U26"/>
  <c r="S27"/>
  <c r="I50"/>
  <c r="K50"/>
  <c r="M50"/>
  <c r="O50"/>
  <c r="E5"/>
  <c r="T26"/>
  <c r="T27"/>
  <c r="F5"/>
  <c r="G27"/>
  <c r="G50"/>
  <c r="E27"/>
  <c r="E13"/>
  <c r="E26" s="1"/>
  <c r="P30" i="1"/>
  <c r="Q20" i="7" s="1"/>
  <c r="Q48" s="1"/>
  <c r="Q30" i="1"/>
  <c r="Q21" s="1"/>
  <c r="P21"/>
  <c r="C40"/>
  <c r="C46"/>
  <c r="C42"/>
  <c r="Q50" i="7" l="1"/>
  <c r="F47"/>
  <c r="E45"/>
  <c r="E44"/>
  <c r="F42"/>
  <c r="F43"/>
  <c r="E43"/>
  <c r="E42"/>
  <c r="E48"/>
  <c r="E49" s="1"/>
  <c r="E50"/>
  <c r="E51" s="1"/>
  <c r="C10" i="2"/>
  <c r="D50" i="1"/>
  <c r="C50"/>
  <c r="D10" i="2" l="1"/>
  <c r="E8"/>
  <c r="E3"/>
  <c r="F3"/>
  <c r="E62" i="4" l="1"/>
  <c r="G82" l="1"/>
  <c r="F82"/>
  <c r="E15" i="6" l="1"/>
  <c r="E6"/>
  <c r="E7"/>
  <c r="E8"/>
  <c r="E9"/>
  <c r="E10"/>
  <c r="E11"/>
  <c r="E12"/>
  <c r="E13"/>
  <c r="E14"/>
  <c r="E5"/>
  <c r="D60" i="4"/>
  <c r="D59"/>
  <c r="E47"/>
  <c r="D45"/>
  <c r="D32"/>
  <c r="D14"/>
  <c r="C58"/>
  <c r="D46"/>
  <c r="C14"/>
  <c r="F47"/>
  <c r="G47" s="1"/>
  <c r="H47" s="1"/>
  <c r="I47" s="1"/>
  <c r="I69"/>
  <c r="J69"/>
  <c r="K69"/>
  <c r="L69"/>
  <c r="M69"/>
  <c r="N69"/>
  <c r="O69"/>
  <c r="P69"/>
  <c r="Q69"/>
  <c r="H69"/>
  <c r="D52"/>
  <c r="D44" s="1"/>
  <c r="E67"/>
  <c r="D58" l="1"/>
  <c r="F67"/>
  <c r="F62" s="1"/>
  <c r="G67"/>
  <c r="G64" s="1"/>
  <c r="C64"/>
  <c r="D64"/>
  <c r="F64"/>
  <c r="E64"/>
  <c r="C6"/>
  <c r="D6"/>
  <c r="C10"/>
  <c r="D10"/>
  <c r="C13"/>
  <c r="D13"/>
  <c r="C17"/>
  <c r="D17"/>
  <c r="C43"/>
  <c r="D43"/>
  <c r="D56" s="1"/>
  <c r="G44"/>
  <c r="H55"/>
  <c r="H52" s="1"/>
  <c r="I55"/>
  <c r="I52" s="1"/>
  <c r="J55"/>
  <c r="J52" s="1"/>
  <c r="K55"/>
  <c r="K52" s="1"/>
  <c r="L55"/>
  <c r="L52" s="1"/>
  <c r="M55"/>
  <c r="M52" s="1"/>
  <c r="N55"/>
  <c r="N52" s="1"/>
  <c r="O55"/>
  <c r="O52" s="1"/>
  <c r="P55"/>
  <c r="P52" s="1"/>
  <c r="Q55"/>
  <c r="Q52" s="1"/>
  <c r="F55"/>
  <c r="F44" s="1"/>
  <c r="G55"/>
  <c r="G52" s="1"/>
  <c r="E55"/>
  <c r="E44" s="1"/>
  <c r="H44"/>
  <c r="I44"/>
  <c r="J44"/>
  <c r="K44"/>
  <c r="L44"/>
  <c r="M44"/>
  <c r="N44"/>
  <c r="O44"/>
  <c r="P44"/>
  <c r="F46"/>
  <c r="G46"/>
  <c r="H46"/>
  <c r="I46"/>
  <c r="J46"/>
  <c r="K46"/>
  <c r="L46"/>
  <c r="M46"/>
  <c r="N46"/>
  <c r="O46"/>
  <c r="P46"/>
  <c r="Q46"/>
  <c r="E46"/>
  <c r="F45"/>
  <c r="G45"/>
  <c r="H45"/>
  <c r="I45"/>
  <c r="J45"/>
  <c r="K45"/>
  <c r="L45"/>
  <c r="M45"/>
  <c r="N45"/>
  <c r="O45"/>
  <c r="P45"/>
  <c r="Q45"/>
  <c r="E45"/>
  <c r="G40"/>
  <c r="H40"/>
  <c r="I40"/>
  <c r="J40"/>
  <c r="K40"/>
  <c r="L40"/>
  <c r="M40"/>
  <c r="N40"/>
  <c r="O40"/>
  <c r="P40"/>
  <c r="Q40"/>
  <c r="F40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E31"/>
  <c r="E30"/>
  <c r="G39"/>
  <c r="H39"/>
  <c r="I39"/>
  <c r="J39"/>
  <c r="K39"/>
  <c r="L39"/>
  <c r="M39"/>
  <c r="N39"/>
  <c r="O39"/>
  <c r="P39"/>
  <c r="Q39"/>
  <c r="F39"/>
  <c r="E39"/>
  <c r="F35"/>
  <c r="G35"/>
  <c r="H35"/>
  <c r="I35"/>
  <c r="J35"/>
  <c r="K35"/>
  <c r="L35"/>
  <c r="M35"/>
  <c r="N35"/>
  <c r="O35"/>
  <c r="P35"/>
  <c r="Q35"/>
  <c r="E35"/>
  <c r="C32"/>
  <c r="F33"/>
  <c r="F32" s="1"/>
  <c r="G33"/>
  <c r="G32" s="1"/>
  <c r="H33"/>
  <c r="I33"/>
  <c r="I32" s="1"/>
  <c r="J33"/>
  <c r="J32" s="1"/>
  <c r="K33"/>
  <c r="K32" s="1"/>
  <c r="L33"/>
  <c r="L32" s="1"/>
  <c r="M33"/>
  <c r="M32" s="1"/>
  <c r="N33"/>
  <c r="N32" s="1"/>
  <c r="O33"/>
  <c r="O32" s="1"/>
  <c r="P33"/>
  <c r="P32" s="1"/>
  <c r="Q33"/>
  <c r="Q32" s="1"/>
  <c r="E33"/>
  <c r="D19"/>
  <c r="D18" s="1"/>
  <c r="C19"/>
  <c r="G27"/>
  <c r="H27"/>
  <c r="H19" s="1"/>
  <c r="I27"/>
  <c r="J27"/>
  <c r="J19" s="1"/>
  <c r="K27"/>
  <c r="L27"/>
  <c r="L19" s="1"/>
  <c r="M27"/>
  <c r="N27"/>
  <c r="N19" s="1"/>
  <c r="O27"/>
  <c r="P27"/>
  <c r="P19" s="1"/>
  <c r="Q27"/>
  <c r="F27"/>
  <c r="E27"/>
  <c r="D57"/>
  <c r="C57"/>
  <c r="C56"/>
  <c r="F59"/>
  <c r="G59"/>
  <c r="H59"/>
  <c r="I59"/>
  <c r="J59"/>
  <c r="K59"/>
  <c r="L59"/>
  <c r="M59"/>
  <c r="N59"/>
  <c r="O59"/>
  <c r="P59"/>
  <c r="Q59"/>
  <c r="F60"/>
  <c r="G60"/>
  <c r="H60"/>
  <c r="I60"/>
  <c r="J60"/>
  <c r="K60"/>
  <c r="L60"/>
  <c r="M60"/>
  <c r="N60"/>
  <c r="O60"/>
  <c r="P60"/>
  <c r="Q60"/>
  <c r="E60"/>
  <c r="E59"/>
  <c r="D80"/>
  <c r="C80"/>
  <c r="F81"/>
  <c r="G81"/>
  <c r="E81"/>
  <c r="D76"/>
  <c r="C76"/>
  <c r="D75"/>
  <c r="C75"/>
  <c r="F12"/>
  <c r="E12"/>
  <c r="F7"/>
  <c r="G7"/>
  <c r="H7"/>
  <c r="F8"/>
  <c r="G8"/>
  <c r="H8"/>
  <c r="I8"/>
  <c r="J8"/>
  <c r="K8"/>
  <c r="L8"/>
  <c r="M8"/>
  <c r="N8"/>
  <c r="O8"/>
  <c r="P8"/>
  <c r="Q8"/>
  <c r="F9"/>
  <c r="G9"/>
  <c r="H9"/>
  <c r="I9"/>
  <c r="J9"/>
  <c r="K9"/>
  <c r="L9"/>
  <c r="M9"/>
  <c r="N9"/>
  <c r="O9"/>
  <c r="P9"/>
  <c r="Q9"/>
  <c r="E8"/>
  <c r="E9"/>
  <c r="E7"/>
  <c r="G35" i="1"/>
  <c r="H35"/>
  <c r="I35"/>
  <c r="J35"/>
  <c r="K35"/>
  <c r="L35"/>
  <c r="M35"/>
  <c r="N35"/>
  <c r="O35"/>
  <c r="E34"/>
  <c r="G34"/>
  <c r="I62" i="4" s="1"/>
  <c r="H34" i="1"/>
  <c r="I34"/>
  <c r="K62" i="4" s="1"/>
  <c r="J34" i="1"/>
  <c r="K34"/>
  <c r="M62" i="4" s="1"/>
  <c r="L34" i="1"/>
  <c r="M34"/>
  <c r="O62" i="4" s="1"/>
  <c r="N34" i="1"/>
  <c r="O34"/>
  <c r="Q62" i="4" s="1"/>
  <c r="C57" i="1"/>
  <c r="E19" i="4" l="1"/>
  <c r="Q19"/>
  <c r="Q18" s="1"/>
  <c r="O19"/>
  <c r="M19"/>
  <c r="M18" s="1"/>
  <c r="K19"/>
  <c r="K18" s="1"/>
  <c r="I19"/>
  <c r="I18" s="1"/>
  <c r="G19"/>
  <c r="G62"/>
  <c r="G58" s="1"/>
  <c r="F22" i="7"/>
  <c r="F19" i="4"/>
  <c r="F18" s="1"/>
  <c r="P62"/>
  <c r="P58" s="1"/>
  <c r="N62"/>
  <c r="N58" s="1"/>
  <c r="L62"/>
  <c r="L58" s="1"/>
  <c r="J62"/>
  <c r="J58" s="1"/>
  <c r="H62"/>
  <c r="H58" s="1"/>
  <c r="E32"/>
  <c r="F52"/>
  <c r="F43" s="1"/>
  <c r="E52"/>
  <c r="E43" s="1"/>
  <c r="G18"/>
  <c r="H32"/>
  <c r="Q80"/>
  <c r="O80"/>
  <c r="M80"/>
  <c r="K80"/>
  <c r="I80"/>
  <c r="G80"/>
  <c r="E80"/>
  <c r="O18"/>
  <c r="P43"/>
  <c r="N43"/>
  <c r="L43"/>
  <c r="J43"/>
  <c r="H43"/>
  <c r="G43"/>
  <c r="P80"/>
  <c r="N80"/>
  <c r="L80"/>
  <c r="J80"/>
  <c r="H80"/>
  <c r="F80"/>
  <c r="Q58"/>
  <c r="O58"/>
  <c r="M58"/>
  <c r="K58"/>
  <c r="I58"/>
  <c r="E6"/>
  <c r="C18"/>
  <c r="P18"/>
  <c r="N18"/>
  <c r="L18"/>
  <c r="J18"/>
  <c r="H18"/>
  <c r="Q43"/>
  <c r="O43"/>
  <c r="M43"/>
  <c r="K43"/>
  <c r="I43"/>
  <c r="G6"/>
  <c r="H6"/>
  <c r="F6"/>
  <c r="E58"/>
  <c r="F58"/>
  <c r="O13" i="1"/>
  <c r="P17" i="7" s="1"/>
  <c r="O22" i="1"/>
  <c r="O58" s="1"/>
  <c r="O30"/>
  <c r="N13"/>
  <c r="O17" i="7" s="1"/>
  <c r="N22" i="1"/>
  <c r="N30"/>
  <c r="E18" i="4" l="1"/>
  <c r="F75"/>
  <c r="G56"/>
  <c r="F57"/>
  <c r="F56"/>
  <c r="E76"/>
  <c r="E57"/>
  <c r="E56"/>
  <c r="E75"/>
  <c r="F76"/>
  <c r="G57"/>
  <c r="H79"/>
  <c r="G75"/>
  <c r="H78"/>
  <c r="G76"/>
  <c r="O21" i="1"/>
  <c r="N21"/>
  <c r="N58"/>
  <c r="F8" i="2"/>
  <c r="D3" i="1" l="1"/>
  <c r="D4"/>
  <c r="F7" i="3"/>
  <c r="G7"/>
  <c r="H7"/>
  <c r="I7"/>
  <c r="J7"/>
  <c r="K7"/>
  <c r="E7"/>
  <c r="G7" i="1"/>
  <c r="G30"/>
  <c r="F30"/>
  <c r="E30"/>
  <c r="F20" i="7" s="1"/>
  <c r="F14" s="1"/>
  <c r="D30" i="1"/>
  <c r="C30"/>
  <c r="D22"/>
  <c r="D45" s="1"/>
  <c r="E22"/>
  <c r="F36" i="7" s="1"/>
  <c r="F22" i="1"/>
  <c r="G22"/>
  <c r="H22"/>
  <c r="I22"/>
  <c r="J22"/>
  <c r="K22"/>
  <c r="L22"/>
  <c r="M22"/>
  <c r="C22"/>
  <c r="C58" s="1"/>
  <c r="E4"/>
  <c r="G10"/>
  <c r="F45" i="7" l="1"/>
  <c r="F44"/>
  <c r="F48"/>
  <c r="F50"/>
  <c r="F3"/>
  <c r="G3"/>
  <c r="G47"/>
  <c r="H47"/>
  <c r="H10" i="1"/>
  <c r="H14" i="7"/>
  <c r="I47" s="1"/>
  <c r="F11" i="1"/>
  <c r="F53" i="7"/>
  <c r="F35"/>
  <c r="I39"/>
  <c r="J39" s="1"/>
  <c r="K39" s="1"/>
  <c r="L39" s="1"/>
  <c r="M39" s="1"/>
  <c r="N39" s="1"/>
  <c r="O39" s="1"/>
  <c r="P39" s="1"/>
  <c r="Q39" s="1"/>
  <c r="R39" s="1"/>
  <c r="S39" s="1"/>
  <c r="F27"/>
  <c r="H7" i="1"/>
  <c r="I7" i="4"/>
  <c r="I6" s="1"/>
  <c r="E45" i="1"/>
  <c r="F45" s="1"/>
  <c r="G45" s="1"/>
  <c r="H45" s="1"/>
  <c r="I45" s="1"/>
  <c r="J45" s="1"/>
  <c r="K45" s="1"/>
  <c r="L45" s="1"/>
  <c r="M45" s="1"/>
  <c r="N45" s="1"/>
  <c r="O45" s="1"/>
  <c r="P45" s="1"/>
  <c r="Q45" s="1"/>
  <c r="H3" i="7" l="1"/>
  <c r="H27"/>
  <c r="I10" i="1"/>
  <c r="I15" i="7"/>
  <c r="I14" s="1"/>
  <c r="F12" i="1"/>
  <c r="F54" i="7"/>
  <c r="G11" i="1"/>
  <c r="G53" i="7"/>
  <c r="I78" i="4"/>
  <c r="I79"/>
  <c r="I7" i="1"/>
  <c r="J7" i="4"/>
  <c r="J6" s="1"/>
  <c r="F4" i="1"/>
  <c r="H30"/>
  <c r="H54" s="1"/>
  <c r="J11" i="4" s="1"/>
  <c r="I30" i="1"/>
  <c r="I54" s="1"/>
  <c r="K11" i="4" s="1"/>
  <c r="J30" i="1"/>
  <c r="K30"/>
  <c r="L30"/>
  <c r="M30"/>
  <c r="D13"/>
  <c r="E17" i="7" s="1"/>
  <c r="E13" i="1"/>
  <c r="F17" i="7" s="1"/>
  <c r="F13" i="1"/>
  <c r="G17" i="7" s="1"/>
  <c r="G13" i="1"/>
  <c r="H17" i="7" s="1"/>
  <c r="H13" i="1"/>
  <c r="I17" i="7" s="1"/>
  <c r="I13" i="1"/>
  <c r="J17" i="7" s="1"/>
  <c r="J13" i="1"/>
  <c r="K17" i="7" s="1"/>
  <c r="K13" i="1"/>
  <c r="L17" i="7" s="1"/>
  <c r="L13" i="1"/>
  <c r="M17" i="7" s="1"/>
  <c r="M13" i="1"/>
  <c r="N17" i="7" s="1"/>
  <c r="H58" i="1"/>
  <c r="I58"/>
  <c r="J58"/>
  <c r="K58"/>
  <c r="L58"/>
  <c r="M58"/>
  <c r="I3" i="7" l="1"/>
  <c r="J47"/>
  <c r="I27"/>
  <c r="J10" i="1"/>
  <c r="J15" i="7"/>
  <c r="J14" s="1"/>
  <c r="K47" s="1"/>
  <c r="J54" i="1"/>
  <c r="L11" i="4" s="1"/>
  <c r="L14" s="1"/>
  <c r="L13" s="1"/>
  <c r="G12" i="1"/>
  <c r="G54" i="7"/>
  <c r="H11" i="1"/>
  <c r="H53" i="7"/>
  <c r="J78" i="4"/>
  <c r="J79"/>
  <c r="J7" i="1"/>
  <c r="K7" i="4"/>
  <c r="K6" s="1"/>
  <c r="J14"/>
  <c r="J13" s="1"/>
  <c r="K14"/>
  <c r="K13" s="1"/>
  <c r="G4" i="1"/>
  <c r="L21"/>
  <c r="J21"/>
  <c r="H21"/>
  <c r="M21"/>
  <c r="K21"/>
  <c r="I21"/>
  <c r="J3" i="7" l="1"/>
  <c r="J27"/>
  <c r="K10" i="1"/>
  <c r="K14" i="7"/>
  <c r="H12" i="1"/>
  <c r="H54" i="7"/>
  <c r="I11" i="1"/>
  <c r="I53" i="7"/>
  <c r="K79" i="4"/>
  <c r="K78"/>
  <c r="K7" i="1"/>
  <c r="L7" i="4"/>
  <c r="H4" i="1"/>
  <c r="H6"/>
  <c r="K3" i="7" l="1"/>
  <c r="L47"/>
  <c r="K27"/>
  <c r="L10" i="1"/>
  <c r="L15" i="7"/>
  <c r="L14" s="1"/>
  <c r="K54" i="1"/>
  <c r="M11" i="4" s="1"/>
  <c r="M14" s="1"/>
  <c r="M13" s="1"/>
  <c r="I12" i="1"/>
  <c r="I54" i="7"/>
  <c r="J11" i="1"/>
  <c r="J53" i="7"/>
  <c r="L6" i="4"/>
  <c r="M77" s="1"/>
  <c r="L7" i="1"/>
  <c r="M7" i="4"/>
  <c r="H49" i="1"/>
  <c r="H16"/>
  <c r="H20" s="1"/>
  <c r="H39" s="1"/>
  <c r="I4"/>
  <c r="I6"/>
  <c r="L3" i="7" l="1"/>
  <c r="M47"/>
  <c r="M10" i="1"/>
  <c r="M15" i="7"/>
  <c r="M14" s="1"/>
  <c r="L54" i="1"/>
  <c r="N11" i="4" s="1"/>
  <c r="N14" s="1"/>
  <c r="N13" s="1"/>
  <c r="L27" i="7"/>
  <c r="J12" i="1"/>
  <c r="J54" i="7"/>
  <c r="K11" i="1"/>
  <c r="K53" i="7"/>
  <c r="M6" i="4"/>
  <c r="N77" s="1"/>
  <c r="M7" i="1"/>
  <c r="N7" i="4"/>
  <c r="L79"/>
  <c r="L78"/>
  <c r="H40" i="1"/>
  <c r="I23" i="7" s="1"/>
  <c r="I13" s="1"/>
  <c r="I26" s="1"/>
  <c r="I16" i="1"/>
  <c r="I20" s="1"/>
  <c r="I39" s="1"/>
  <c r="I49"/>
  <c r="J6"/>
  <c r="D8" i="2"/>
  <c r="C8"/>
  <c r="M3" i="7" l="1"/>
  <c r="N47"/>
  <c r="N10" i="1"/>
  <c r="N14" i="7"/>
  <c r="M54" i="1"/>
  <c r="O11" i="4" s="1"/>
  <c r="O14" s="1"/>
  <c r="O13" s="1"/>
  <c r="M27" i="7"/>
  <c r="K12" i="1"/>
  <c r="K54" i="7"/>
  <c r="L11" i="1"/>
  <c r="L53" i="7"/>
  <c r="N6" i="4"/>
  <c r="O77" s="1"/>
  <c r="N7" i="1"/>
  <c r="O7" i="4"/>
  <c r="M78"/>
  <c r="M79"/>
  <c r="H55" i="1"/>
  <c r="H56" s="1"/>
  <c r="H59" s="1"/>
  <c r="J12" i="4"/>
  <c r="J10" s="1"/>
  <c r="J17" s="1"/>
  <c r="K50" i="1"/>
  <c r="I40"/>
  <c r="J23" i="7" s="1"/>
  <c r="J13" s="1"/>
  <c r="J26" s="1"/>
  <c r="H43" i="1"/>
  <c r="J16"/>
  <c r="J20" s="1"/>
  <c r="J39" s="1"/>
  <c r="J49"/>
  <c r="K6"/>
  <c r="F58"/>
  <c r="G58"/>
  <c r="D54"/>
  <c r="E54"/>
  <c r="F54"/>
  <c r="H11" i="4" s="1"/>
  <c r="G54" i="1"/>
  <c r="I11" i="4" s="1"/>
  <c r="D6" i="1"/>
  <c r="E6"/>
  <c r="F6"/>
  <c r="G6"/>
  <c r="O47" i="7" l="1"/>
  <c r="O15"/>
  <c r="O14" s="1"/>
  <c r="O10" i="1"/>
  <c r="N54"/>
  <c r="P11" i="4" s="1"/>
  <c r="P14" s="1"/>
  <c r="P13" s="1"/>
  <c r="L49" i="7"/>
  <c r="L51"/>
  <c r="N27"/>
  <c r="F49"/>
  <c r="F51"/>
  <c r="L12" i="1"/>
  <c r="L54" i="7"/>
  <c r="M11" i="1"/>
  <c r="M53" i="7"/>
  <c r="F50" i="1"/>
  <c r="G51" i="7" s="1"/>
  <c r="O6" i="4"/>
  <c r="P77" s="1"/>
  <c r="P7"/>
  <c r="N6" i="1"/>
  <c r="O7"/>
  <c r="N78" i="4"/>
  <c r="N79"/>
  <c r="I14"/>
  <c r="I13" s="1"/>
  <c r="K77"/>
  <c r="L77"/>
  <c r="G11"/>
  <c r="I55" i="1"/>
  <c r="I56" s="1"/>
  <c r="I59" s="1"/>
  <c r="K12" i="4"/>
  <c r="K10" s="1"/>
  <c r="K17" s="1"/>
  <c r="H14"/>
  <c r="H13" s="1"/>
  <c r="D55" i="1"/>
  <c r="D56" s="1"/>
  <c r="F11" i="4"/>
  <c r="J50" i="1"/>
  <c r="L50"/>
  <c r="G50"/>
  <c r="I50"/>
  <c r="H50"/>
  <c r="J40"/>
  <c r="K23" i="7" s="1"/>
  <c r="K13" s="1"/>
  <c r="K26" s="1"/>
  <c r="I43" i="1"/>
  <c r="M6"/>
  <c r="L6"/>
  <c r="K16"/>
  <c r="K20" s="1"/>
  <c r="K39" s="1"/>
  <c r="K49"/>
  <c r="K51" s="1"/>
  <c r="G16"/>
  <c r="G20" s="1"/>
  <c r="F16"/>
  <c r="F20" s="1"/>
  <c r="E53"/>
  <c r="E16"/>
  <c r="E20" s="1"/>
  <c r="D53"/>
  <c r="D16"/>
  <c r="D20" s="1"/>
  <c r="E58"/>
  <c r="D58"/>
  <c r="G21"/>
  <c r="F21"/>
  <c r="E21"/>
  <c r="D21"/>
  <c r="C21"/>
  <c r="P47" i="7" l="1"/>
  <c r="J51" i="1"/>
  <c r="O27" i="7"/>
  <c r="M51"/>
  <c r="M49"/>
  <c r="P10" i="1"/>
  <c r="P15" i="7"/>
  <c r="P14" s="1"/>
  <c r="O54" i="1"/>
  <c r="Q11" i="4" s="1"/>
  <c r="Q14" s="1"/>
  <c r="Q13" s="1"/>
  <c r="M12" i="1"/>
  <c r="M54" i="7"/>
  <c r="N11" i="1"/>
  <c r="N53" i="7"/>
  <c r="H51"/>
  <c r="H49"/>
  <c r="I51" i="1"/>
  <c r="H51"/>
  <c r="O6"/>
  <c r="P7"/>
  <c r="Q7" i="4"/>
  <c r="Q6" s="1"/>
  <c r="P6"/>
  <c r="Q77" s="1"/>
  <c r="O79"/>
  <c r="O78"/>
  <c r="N49" i="1"/>
  <c r="N16"/>
  <c r="N20" s="1"/>
  <c r="N39" s="1"/>
  <c r="D52"/>
  <c r="D49"/>
  <c r="G14" i="4"/>
  <c r="G13" s="1"/>
  <c r="J77"/>
  <c r="J55" i="1"/>
  <c r="J56" s="1"/>
  <c r="J59" s="1"/>
  <c r="L12" i="4"/>
  <c r="L10" s="1"/>
  <c r="L17" s="1"/>
  <c r="F10"/>
  <c r="F17" s="1"/>
  <c r="F14"/>
  <c r="F13" s="1"/>
  <c r="I77"/>
  <c r="M50" i="1"/>
  <c r="O50"/>
  <c r="N50"/>
  <c r="E49"/>
  <c r="E52"/>
  <c r="K40"/>
  <c r="L23" i="7" s="1"/>
  <c r="L13" s="1"/>
  <c r="L26" s="1"/>
  <c r="J43" i="1"/>
  <c r="L16"/>
  <c r="L20" s="1"/>
  <c r="L39" s="1"/>
  <c r="L49"/>
  <c r="L51" s="1"/>
  <c r="M16"/>
  <c r="M20" s="1"/>
  <c r="M39" s="1"/>
  <c r="M49"/>
  <c r="D59"/>
  <c r="G49"/>
  <c r="G51" s="1"/>
  <c r="G39"/>
  <c r="F49"/>
  <c r="G49" i="7" s="1"/>
  <c r="F39" i="1"/>
  <c r="F40" s="1"/>
  <c r="G23" i="7" s="1"/>
  <c r="G13" s="1"/>
  <c r="G26" s="1"/>
  <c r="E39" i="1"/>
  <c r="E40" s="1"/>
  <c r="F23" i="7" s="1"/>
  <c r="F13" s="1"/>
  <c r="F26" s="1"/>
  <c r="D39" i="1"/>
  <c r="D43" s="1"/>
  <c r="Q47" i="7" l="1"/>
  <c r="Q49" s="1"/>
  <c r="P50" i="1"/>
  <c r="N51"/>
  <c r="P51" i="7"/>
  <c r="P49"/>
  <c r="Q14"/>
  <c r="Q27" s="1"/>
  <c r="Q10" i="1"/>
  <c r="P54"/>
  <c r="N51" i="7"/>
  <c r="N49"/>
  <c r="Q51"/>
  <c r="P27"/>
  <c r="K51"/>
  <c r="K49"/>
  <c r="N12" i="1"/>
  <c r="N54" i="7"/>
  <c r="O11" i="1"/>
  <c r="O53" i="7"/>
  <c r="I51"/>
  <c r="I49"/>
  <c r="J51"/>
  <c r="J49"/>
  <c r="Q78" i="4"/>
  <c r="Q79"/>
  <c r="O49" i="1"/>
  <c r="O16"/>
  <c r="O20" s="1"/>
  <c r="O39" s="1"/>
  <c r="O51"/>
  <c r="N40"/>
  <c r="P79" i="4"/>
  <c r="P78"/>
  <c r="P6" i="1"/>
  <c r="Q7"/>
  <c r="Q6" s="1"/>
  <c r="E43"/>
  <c r="K55"/>
  <c r="K56" s="1"/>
  <c r="K59" s="1"/>
  <c r="M12" i="4"/>
  <c r="M10" s="1"/>
  <c r="M17" s="1"/>
  <c r="K43" i="1"/>
  <c r="M40"/>
  <c r="N23" i="7" s="1"/>
  <c r="N13" s="1"/>
  <c r="N26" s="1"/>
  <c r="L40" i="1"/>
  <c r="M23" i="7" s="1"/>
  <c r="M13" s="1"/>
  <c r="M26" s="1"/>
  <c r="G40" i="1"/>
  <c r="H23" i="7" s="1"/>
  <c r="H13" s="1"/>
  <c r="H26" s="1"/>
  <c r="M51" i="1"/>
  <c r="C6"/>
  <c r="R47" i="7" l="1"/>
  <c r="N43" i="1"/>
  <c r="O23" i="7"/>
  <c r="O13" s="1"/>
  <c r="O26" s="1"/>
  <c r="R15"/>
  <c r="R14" s="1"/>
  <c r="R27" s="1"/>
  <c r="Q54" i="1"/>
  <c r="O51" i="7"/>
  <c r="O49"/>
  <c r="O12" i="1"/>
  <c r="O54" i="7"/>
  <c r="P53"/>
  <c r="P11" i="1"/>
  <c r="P49"/>
  <c r="P51" s="1"/>
  <c r="P16"/>
  <c r="P20" s="1"/>
  <c r="P39" s="1"/>
  <c r="O40"/>
  <c r="P23" i="7" s="1"/>
  <c r="P13" s="1"/>
  <c r="P26" s="1"/>
  <c r="O43" i="1"/>
  <c r="Q49"/>
  <c r="Q16"/>
  <c r="Q20" s="1"/>
  <c r="Q39" s="1"/>
  <c r="Q50"/>
  <c r="P12" i="4"/>
  <c r="P10" s="1"/>
  <c r="P17" s="1"/>
  <c r="N55" i="1"/>
  <c r="N56" s="1"/>
  <c r="N59" s="1"/>
  <c r="C52"/>
  <c r="F55"/>
  <c r="F56" s="1"/>
  <c r="F59" s="1"/>
  <c r="H12" i="4"/>
  <c r="H10" s="1"/>
  <c r="H17" s="1"/>
  <c r="L55" i="1"/>
  <c r="L56" s="1"/>
  <c r="L59" s="1"/>
  <c r="N12" i="4"/>
  <c r="N10" s="1"/>
  <c r="N17" s="1"/>
  <c r="G55" i="1"/>
  <c r="G56" s="1"/>
  <c r="G59" s="1"/>
  <c r="I12" i="4"/>
  <c r="I10" s="1"/>
  <c r="I17" s="1"/>
  <c r="M55" i="1"/>
  <c r="M56" s="1"/>
  <c r="M59" s="1"/>
  <c r="O12" i="4"/>
  <c r="O10" s="1"/>
  <c r="O17" s="1"/>
  <c r="G12"/>
  <c r="G10" s="1"/>
  <c r="G17" s="1"/>
  <c r="E55" i="1"/>
  <c r="E56" s="1"/>
  <c r="E59" s="1"/>
  <c r="G43"/>
  <c r="L43"/>
  <c r="M43"/>
  <c r="F43"/>
  <c r="C49"/>
  <c r="C51" s="1"/>
  <c r="C53"/>
  <c r="Q51" l="1"/>
  <c r="P54" i="7"/>
  <c r="P12" i="1"/>
  <c r="Q53" i="7"/>
  <c r="Q11" i="1"/>
  <c r="R53" i="7" s="1"/>
  <c r="Q40" i="1"/>
  <c r="Q43"/>
  <c r="Q12" i="4"/>
  <c r="Q10" s="1"/>
  <c r="Q17" s="1"/>
  <c r="O55" i="1"/>
  <c r="O56" s="1"/>
  <c r="O59" s="1"/>
  <c r="P40"/>
  <c r="P43" s="1"/>
  <c r="C13"/>
  <c r="R51" i="7" l="1"/>
  <c r="R49"/>
  <c r="Q54"/>
  <c r="Q12" i="1"/>
  <c r="R54" i="7" s="1"/>
  <c r="Q55" i="1"/>
  <c r="Q56" s="1"/>
  <c r="R23" i="7"/>
  <c r="R13" s="1"/>
  <c r="R26" s="1"/>
  <c r="P55" i="1"/>
  <c r="P56" s="1"/>
  <c r="Q23" i="7"/>
  <c r="Q13" s="1"/>
  <c r="Q26" s="1"/>
  <c r="C54" i="1"/>
  <c r="C16"/>
  <c r="C20" s="1"/>
  <c r="C39" s="1"/>
  <c r="C43" s="1"/>
  <c r="E11" i="4" l="1"/>
  <c r="H77" s="1"/>
  <c r="E10"/>
  <c r="E17" s="1"/>
  <c r="D51" i="1"/>
  <c r="C55"/>
  <c r="E51"/>
  <c r="F51"/>
  <c r="E14" i="4" l="1"/>
  <c r="E13" s="1"/>
  <c r="C56" i="1"/>
  <c r="C59" s="1"/>
</calcChain>
</file>

<file path=xl/sharedStrings.xml><?xml version="1.0" encoding="utf-8"?>
<sst xmlns="http://schemas.openxmlformats.org/spreadsheetml/2006/main" count="374" uniqueCount="282">
  <si>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</si>
  <si>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</si>
  <si>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</si>
  <si>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</si>
  <si>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</si>
  <si>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</si>
  <si>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</si>
  <si>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</si>
  <si>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</si>
  <si>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</si>
  <si>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</si>
  <si>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</si>
  <si>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</si>
  <si>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</si>
  <si>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</si>
  <si>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</si>
  <si>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</si>
  <si>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</si>
  <si>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</si>
  <si>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</si>
  <si>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</si>
  <si>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</si>
  <si>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</si>
  <si>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</si>
  <si>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</si>
  <si>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</si>
  <si>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</si>
  <si>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</si>
  <si>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</si>
  <si>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</si>
  <si>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</si>
  <si>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</si>
  <si>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</si>
  <si>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</si>
  <si>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</si>
  <si>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</si>
  <si>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</si>
  <si>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</si>
  <si>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</si>
  <si>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</si>
  <si>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</si>
  <si>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</si>
  <si>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</si>
  <si>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</si>
  <si>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</si>
  <si>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</si>
  <si>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</si>
  <si>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</si>
  <si>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</si>
  <si>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</si>
  <si>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</si>
  <si>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</si>
  <si>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</si>
  <si>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</si>
  <si>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</si>
  <si>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</si>
  <si>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</si>
  <si>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</si>
  <si>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</si>
  <si>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</si>
  <si>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</si>
  <si>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</si>
  <si>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</si>
  <si>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</si>
  <si>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</si>
  <si>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</si>
  <si>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</si>
  <si>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</si>
  <si>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</si>
  <si>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</si>
  <si>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</si>
  <si>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</si>
  <si>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</si>
  <si>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</si>
  <si>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</si>
  <si>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</si>
  <si>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</si>
  <si>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</si>
  <si>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</si>
  <si>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</si>
  <si>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</si>
  <si>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</si>
  <si>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</si>
  <si>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</si>
  <si>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</si>
  <si>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</si>
  <si>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</si>
  <si>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</si>
  <si>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</si>
  <si>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</si>
  <si>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</si>
  <si>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</si>
  <si>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</si>
  <si>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</si>
  <si>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</si>
  <si>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</si>
  <si>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</si>
  <si>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</si>
  <si>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</si>
  <si>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</si>
  <si>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</si>
  <si>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</si>
  <si>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</si>
  <si>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</si>
  <si>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</si>
  <si>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</si>
  <si>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</si>
  <si>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</si>
  <si>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</si>
  <si>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</si>
  <si>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</si>
  <si>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</si>
  <si>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</si>
  <si>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</si>
  <si>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</si>
  <si>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</si>
  <si>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</si>
  <si>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</si>
  <si>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</si>
  <si>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</si>
  <si>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</si>
  <si>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</si>
  <si>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</si>
  <si>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</si>
  <si>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</si>
  <si>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</si>
  <si>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</si>
  <si>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</si>
  <si>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obligacje 2010 UE</t>
  </si>
  <si>
    <t>2022 r.</t>
  </si>
  <si>
    <t>2023 r.</t>
  </si>
  <si>
    <t xml:space="preserve">Wieloletnia prognoza finansowa Gminy Widuchowa </t>
  </si>
  <si>
    <t xml:space="preserve">  w zł  </t>
  </si>
  <si>
    <t>Wykonanie</t>
  </si>
  <si>
    <t>Przewidywane wykonanie</t>
  </si>
  <si>
    <r>
      <t xml:space="preserve">A. Dochody </t>
    </r>
    <r>
      <rPr>
        <sz val="10"/>
        <rFont val="Arial CE"/>
        <charset val="238"/>
      </rPr>
      <t>(A1+A2)</t>
    </r>
  </si>
  <si>
    <t>A1. Dochody bieżące</t>
  </si>
  <si>
    <t>A2. Dochody majątkowe</t>
  </si>
  <si>
    <r>
      <t xml:space="preserve">B. Wydatki  </t>
    </r>
    <r>
      <rPr>
        <sz val="10"/>
        <rFont val="Arial CE"/>
        <family val="2"/>
        <charset val="238"/>
      </rPr>
      <t>(B1+B2)</t>
    </r>
  </si>
  <si>
    <t>B1. Wydatki bieżące</t>
  </si>
  <si>
    <t>B2. Wydatki majątkowe</t>
  </si>
  <si>
    <r>
      <t>C. Finansowanie wydatków bieżących</t>
    </r>
    <r>
      <rPr>
        <b/>
        <sz val="10"/>
        <rFont val="Arial CE"/>
        <charset val="238"/>
      </rPr>
      <t xml:space="preserve"> (</t>
    </r>
    <r>
      <rPr>
        <sz val="10"/>
        <rFont val="Arial CE"/>
        <charset val="238"/>
      </rPr>
      <t>C1+C2+C3)</t>
    </r>
  </si>
  <si>
    <t>C1. Dochody bieżące</t>
  </si>
  <si>
    <t>C2. Nadwyżka z lat ubiegłych</t>
  </si>
  <si>
    <t>C3. Wolne środki</t>
  </si>
  <si>
    <t>D. Nadwyżka/Deficyt (A-B)</t>
  </si>
  <si>
    <t>F11. kredyty
 w tym:</t>
  </si>
  <si>
    <t xml:space="preserve">      F111. zaciągnięte w związku z umową zawartą na realizację programu, 
                projektu lub zadania finansowanego z udziałem środków, o których 
                mowa w art. 5 ust. 3 sufp (art. 5 ust. 1 pkt 2 nufp)</t>
  </si>
  <si>
    <t>F12. pożyczki
w tym:</t>
  </si>
  <si>
    <t xml:space="preserve">      D121. zaciągnięte w związku z umową zawartą na realizację programu, 
                 projektu lub zadania finansowanego z udziałem środków, o których 
                 mowa w art. 5 ust. 3 sufp (art. 5 ust. 1 pkt 2 nufp)</t>
  </si>
  <si>
    <t xml:space="preserve">     F141. środki na pokrycie deficytu</t>
  </si>
  <si>
    <t>F15. obligacje jednostek samorządowych 
        oraz związków komunalnych
w tym:</t>
  </si>
  <si>
    <t xml:space="preserve">     F151. wyemitowane w związku z umową zawartą na realizację programu, 
               projektu lub zadania finansowanego z udziałem środków, o których 
               mowa w art. 5 ust. 3 sufp (art. 5 ust. 1 pkt 2 nufp)</t>
  </si>
  <si>
    <t>F16. prywatyzacja majątku jst</t>
  </si>
  <si>
    <t>F17. inne źródła
w tym:</t>
  </si>
  <si>
    <t xml:space="preserve">       F171. środki na pokrycie deficytu</t>
  </si>
  <si>
    <t>F21. spłaty kredytów
 w tym:</t>
  </si>
  <si>
    <t xml:space="preserve">      F211. zaciągniętych w związku z umową zawartą na realizację programu, 
                projektu lub zadania finansowanego z udziałem środków, o których 
                mowa w art. 5 ust. 3 sufp (art. 5 ust. 1 pkt 2 nufp)</t>
  </si>
  <si>
    <t>F22. spłaty pożyczek
w tym:</t>
  </si>
  <si>
    <t xml:space="preserve">      F221. zaciągniętych w związku z umową zawartą na realizację programu,
                projektu lub zadania finansowanego z udziałem środków, o których 
                mowa w art. 5 ust. 3 sufp (art. 5 ust. 1 pkt 2 nufp)</t>
  </si>
  <si>
    <t>F25. wykup obligacji samorządowych
w tym:</t>
  </si>
  <si>
    <t xml:space="preserve">      F251. wyemitowanych w związku z umową zawartą na realizację 
           programu, projektu lub zadania finansowanego z udziałem środków, 
           o których mowa w art. 5 ust. 3 sufp (art. 5 ust. 1 pkt 2 nufp)</t>
  </si>
  <si>
    <t>F26. inne cele</t>
  </si>
  <si>
    <t xml:space="preserve"> 1) wyemitowane papiery wartościowe, </t>
  </si>
  <si>
    <t xml:space="preserve"> 2) zaciągnięte kredyty (art. 89 i art. 90 nufp),</t>
  </si>
  <si>
    <t xml:space="preserve"> 3) zaciągnięte pożyczki (art. 89 i art. 90 nufp),</t>
  </si>
  <si>
    <t xml:space="preserve">   a) wynikające z ustaw i orzeczeń sądów
        lub ostatecznych decyzji administracyjnych,</t>
  </si>
  <si>
    <t xml:space="preserve">   b) uznane za bezsporne przez właściwą jednostkę
       sektora finansów publicznych, będącą dłużnikiem</t>
  </si>
  <si>
    <t xml:space="preserve"> 7) zobowiązania związane z umową zawartą na realizację 
     programu, projektu lub zadania finansowanego 
     z udziałem środków, o których mowa w art. 5 ust. 3 sufp 
    (art. 5 ust. 1 pkt 2 nufp) (a+b+c):</t>
  </si>
  <si>
    <t xml:space="preserve">      a) kredyty,</t>
  </si>
  <si>
    <t xml:space="preserve">      b) pożyczki,</t>
  </si>
  <si>
    <t xml:space="preserve">      c) emitowane papiery wartościowe.</t>
  </si>
  <si>
    <t xml:space="preserve"> 6) spłaty zobowiązań związanych z umową zawartą na 
   realizację programu, projektu lub zadania finansowanego 
   z udziałem środków, o których mowa w art. 5 ust. 3 sufp 
   (a+b+c+d):</t>
  </si>
  <si>
    <t xml:space="preserve">     a) spłaty rat kredytów z odsetkami,</t>
  </si>
  <si>
    <t xml:space="preserve">     b) spłaty rat pożyczek z odsetkami,</t>
  </si>
  <si>
    <t xml:space="preserve">     c) wykup papierów wartościowych z odsetkami i dyskontem,</t>
  </si>
  <si>
    <t xml:space="preserve">     d) potencjalne spłaty poręczeń i gwarancji udzielonych 
        samorządowym osobom prawnym realizującym zadania jst</t>
  </si>
  <si>
    <t xml:space="preserve"> 6) spłaty zobowiązań związanych z umową zawartą na 
  realizację programu, projektu lub zadania finansowanego z
 udziałem środków, o których mowa w art. 5 ust. 1 pkt 2 nufp 
  (a+b+c+d):</t>
  </si>
  <si>
    <t xml:space="preserve">     a) spłaty rat kredytów  (bez odsetek)</t>
  </si>
  <si>
    <t xml:space="preserve">     b) spłaty rat pożyczek  (bez odsetek)</t>
  </si>
  <si>
    <t xml:space="preserve">     c) wykup papierów wartościowych  (bez odsetek)</t>
  </si>
  <si>
    <t>7) spłaty (wykup) zobowiązań współtworzonego związku</t>
  </si>
  <si>
    <t>M. DANE DOTYCZĄCE SPŁATY
    ZACIĄGANEGO ZOBOWIĄZANIA - z tego:</t>
  </si>
  <si>
    <t xml:space="preserve">         1) spłata podstawowych rat (wykupu pap. wart.)</t>
  </si>
  <si>
    <t xml:space="preserve">         2) odsetki </t>
  </si>
  <si>
    <r>
      <t>1)</t>
    </r>
    <r>
      <rPr>
        <sz val="10"/>
        <rFont val="Arial CE"/>
        <charset val="238"/>
      </rPr>
      <t xml:space="preserve">  - podać dane na poszczególne lata objęte spłatą całego zadłużenia
</t>
    </r>
    <r>
      <rPr>
        <vertAlign val="superscript"/>
        <sz val="10"/>
        <rFont val="Arial CE"/>
        <charset val="238"/>
      </rPr>
      <t xml:space="preserve">2) </t>
    </r>
    <r>
      <rPr>
        <sz val="10"/>
        <rFont val="Arial CE"/>
        <charset val="238"/>
      </rPr>
      <t xml:space="preserve"> - depozyty przyjęte do budżetu 
</t>
    </r>
    <r>
      <rPr>
        <vertAlign val="superscript"/>
        <sz val="10"/>
        <rFont val="Arial CE"/>
        <charset val="238"/>
      </rPr>
      <t>3)</t>
    </r>
    <r>
      <rPr>
        <sz val="10"/>
        <rFont val="Arial CE"/>
        <charset val="238"/>
      </rPr>
      <t xml:space="preserve">  - prawa strona wzoru (art. 243 nufp)
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 - lewa strona wzoru (art. 243 nufp)
</t>
    </r>
    <r>
      <rPr>
        <vertAlign val="superscript"/>
        <sz val="10"/>
        <rFont val="Arial CE"/>
        <charset val="238"/>
      </rPr>
      <t>5)</t>
    </r>
    <r>
      <rPr>
        <sz val="10"/>
        <rFont val="Arial CE"/>
        <charset val="238"/>
      </rPr>
      <t xml:space="preserve">  - rozporządzenie Ministra Finansów z dnia 23 grudnia 2010 r. w sprawie szczegółowego sposobu klasyfikacji tytułów dłużnych zaliczanych do państwowego długu publicznego, w tym do długu Skarbu Państwa (Dz. U. Nr 252, poz. 1692)</t>
    </r>
  </si>
  <si>
    <r>
      <t xml:space="preserve">_________________________________________
        </t>
    </r>
    <r>
      <rPr>
        <i/>
        <sz val="10"/>
        <rFont val="Arial CE"/>
        <family val="2"/>
        <charset val="238"/>
      </rPr>
      <t>(pieczęć  j.s.t.)</t>
    </r>
  </si>
  <si>
    <r>
      <t xml:space="preserve">       w tym ze sprzedaży majątku (</t>
    </r>
    <r>
      <rPr>
        <sz val="10"/>
        <rFont val="Czcionka tekstu podstawowego"/>
        <charset val="238"/>
      </rPr>
      <t>§§</t>
    </r>
    <r>
      <rPr>
        <sz val="10"/>
        <rFont val="Arial CE"/>
        <family val="2"/>
        <charset val="238"/>
      </rPr>
      <t xml:space="preserve"> 077, 078 , 087)</t>
    </r>
  </si>
  <si>
    <r>
      <t xml:space="preserve">E. Finansowanie </t>
    </r>
    <r>
      <rPr>
        <b/>
        <sz val="10"/>
        <rFont val="Arial CE"/>
        <charset val="238"/>
      </rPr>
      <t>(F1-F2)</t>
    </r>
  </si>
  <si>
    <r>
      <t xml:space="preserve">F1. Przychody ogółem 
    </t>
    </r>
    <r>
      <rPr>
        <b/>
        <sz val="10"/>
        <rFont val="Arial CE"/>
        <charset val="238"/>
      </rPr>
      <t xml:space="preserve">   </t>
    </r>
    <r>
      <rPr>
        <sz val="10"/>
        <rFont val="Arial CE"/>
        <charset val="238"/>
      </rPr>
      <t>z tego:</t>
    </r>
  </si>
  <si>
    <r>
      <t>F13.</t>
    </r>
    <r>
      <rPr>
        <b/>
        <sz val="10"/>
        <rFont val="Arial CE"/>
        <family val="2"/>
        <charset val="238"/>
      </rPr>
      <t xml:space="preserve"> spłata pożyczek udzielonych</t>
    </r>
  </si>
  <si>
    <r>
      <t>F14.</t>
    </r>
    <r>
      <rPr>
        <b/>
        <sz val="10"/>
        <rFont val="Arial CE"/>
        <family val="2"/>
        <charset val="238"/>
      </rPr>
      <t xml:space="preserve"> nadwyżka z lat ubiegłych
w tym:</t>
    </r>
  </si>
  <si>
    <r>
      <t xml:space="preserve">F2. Rozchody ogółem 
</t>
    </r>
    <r>
      <rPr>
        <b/>
        <sz val="10"/>
        <rFont val="Arial CE"/>
        <charset val="238"/>
      </rPr>
      <t xml:space="preserve">       z tego:</t>
    </r>
  </si>
  <si>
    <r>
      <t>F23</t>
    </r>
    <r>
      <rPr>
        <b/>
        <sz val="10"/>
        <rFont val="Arial CE"/>
        <family val="2"/>
        <charset val="238"/>
      </rPr>
      <t xml:space="preserve">. pożyczki </t>
    </r>
    <r>
      <rPr>
        <b/>
        <sz val="10"/>
        <rFont val="Arial CE"/>
        <charset val="238"/>
      </rPr>
      <t>(udzielone)</t>
    </r>
  </si>
  <si>
    <r>
      <t>F24.</t>
    </r>
    <r>
      <rPr>
        <b/>
        <sz val="10"/>
        <rFont val="Arial CE"/>
        <family val="2"/>
        <charset val="238"/>
      </rPr>
      <t xml:space="preserve"> lokaty w bankach</t>
    </r>
  </si>
  <si>
    <r>
      <t xml:space="preserve">H. DŁUG NA KONIEC ROKU
          </t>
    </r>
    <r>
      <rPr>
        <b/>
        <sz val="10"/>
        <rFont val="Arial CE"/>
        <charset val="238"/>
      </rPr>
      <t>(1+2+3+4+5+6):</t>
    </r>
  </si>
  <si>
    <r>
      <t xml:space="preserve"> 4) inne umowy, o których mowa w § 3 pkt 2 rozporządzenia Ministra Finansów</t>
    </r>
    <r>
      <rPr>
        <b/>
        <vertAlign val="superscript"/>
        <sz val="10"/>
        <rFont val="Czcionka tekstu podstawowego"/>
        <charset val="238"/>
      </rPr>
      <t>5)</t>
    </r>
  </si>
  <si>
    <r>
      <t xml:space="preserve"> 5) przyjęte depozyty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family val="2"/>
        <charset val="238"/>
      </rPr>
      <t>,</t>
    </r>
  </si>
  <si>
    <r>
      <t xml:space="preserve"> 6) wymagalne zobowiązania, </t>
    </r>
    <r>
      <rPr>
        <b/>
        <sz val="10"/>
        <rFont val="Arial CE"/>
        <charset val="238"/>
      </rPr>
      <t>w tym:</t>
    </r>
  </si>
  <si>
    <r>
      <t>I.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łącznego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
  </t>
    </r>
    <r>
      <rPr>
        <b/>
        <sz val="10"/>
        <rFont val="Arial CE"/>
        <charset val="238"/>
      </rPr>
      <t xml:space="preserve">   (poz.38</t>
    </r>
    <r>
      <rPr>
        <b/>
        <sz val="10"/>
        <rFont val="Arial CE"/>
        <family val="2"/>
        <charset val="238"/>
      </rPr>
      <t xml:space="preserve"> / poz.1) %</t>
    </r>
  </si>
  <si>
    <r>
      <t>I1.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</t>
    </r>
    <r>
      <rPr>
        <i/>
        <sz val="10"/>
        <rFont val="Arial CE"/>
        <charset val="238"/>
      </rPr>
      <t>(bez poz. 47)</t>
    </r>
    <r>
      <rPr>
        <b/>
        <sz val="10"/>
        <rFont val="Arial CE"/>
        <charset val="238"/>
      </rPr>
      <t xml:space="preserve">
     ((poz.38 (-) poz. 47) / poz.1) %</t>
    </r>
  </si>
  <si>
    <r>
      <t xml:space="preserve">J. OBCIĄŻENIE ROCZNE BUDŻETU
   z tytułu spłaty zadłużenia </t>
    </r>
    <r>
      <rPr>
        <b/>
        <sz val="10"/>
        <rFont val="Arial CE"/>
        <charset val="238"/>
      </rPr>
      <t>(1+2+3+4+5+6+7):</t>
    </r>
  </si>
  <si>
    <r>
      <t xml:space="preserve"> 1)  spłaty rat kredytów </t>
    </r>
    <r>
      <rPr>
        <sz val="10"/>
        <rFont val="Arial CE"/>
        <charset val="238"/>
      </rPr>
      <t xml:space="preserve">(art.82 ust.1 pkt 2 i 3 sufp) 
      (art.89 ust.1 pkt 2 - 4 oraz art. 90 nufp) </t>
    </r>
    <r>
      <rPr>
        <b/>
        <sz val="10"/>
        <rFont val="Arial CE"/>
        <charset val="238"/>
      </rPr>
      <t>z odsetkami</t>
    </r>
    <r>
      <rPr>
        <sz val="10"/>
        <rFont val="Arial CE"/>
        <charset val="238"/>
      </rPr>
      <t>,</t>
    </r>
  </si>
  <si>
    <r>
      <t xml:space="preserve"> 2)  spłaty rat pożyczek </t>
    </r>
    <r>
      <rPr>
        <sz val="10"/>
        <rFont val="Arial CE"/>
        <charset val="238"/>
      </rPr>
      <t xml:space="preserve">(art.82 ust.1 pkt 2 i 3 sufp) 
     (art.89 ust.1 pkt 2 - 4 oraz art. 90 nufp) </t>
    </r>
    <r>
      <rPr>
        <b/>
        <sz val="10"/>
        <rFont val="Arial CE"/>
        <family val="2"/>
        <charset val="238"/>
      </rPr>
      <t>z odsetkami</t>
    </r>
    <r>
      <rPr>
        <sz val="10"/>
        <rFont val="Arial CE"/>
        <charset val="238"/>
      </rPr>
      <t>,</t>
    </r>
  </si>
  <si>
    <r>
      <t xml:space="preserve"> </t>
    </r>
    <r>
      <rPr>
        <b/>
        <sz val="10"/>
        <rFont val="Arial CE"/>
        <charset val="238"/>
      </rPr>
      <t>3)</t>
    </r>
    <r>
      <rPr>
        <b/>
        <sz val="10"/>
        <rFont val="Arial CE"/>
        <family val="2"/>
        <charset val="238"/>
      </rPr>
      <t xml:space="preserve"> potenc. spłaty udzielonych poręczeń
     z należnymi odsetkami,</t>
    </r>
  </si>
  <si>
    <r>
      <t xml:space="preserve"> 4) wykup wyemitowanych papierów wartościowych  
    </t>
    </r>
    <r>
      <rPr>
        <sz val="10"/>
        <rFont val="Arial CE"/>
        <charset val="238"/>
      </rPr>
      <t>(art.82 ust.1 pkt 2 i 3 sufp) (art.89 ust.1 pkt 2 - 4 
    oraz art. 90 nufp)</t>
    </r>
    <r>
      <rPr>
        <b/>
        <sz val="10"/>
        <rFont val="Arial CE"/>
        <family val="2"/>
        <charset val="238"/>
      </rPr>
      <t>, z należnymi odsetkami i dyskontem,</t>
    </r>
  </si>
  <si>
    <r>
      <t xml:space="preserve"> 5) odsetki od kredytów i pożyczek oraz odsetki i dyskonto 
    od papierów wart. wyemitowanych przez jst 
   </t>
    </r>
    <r>
      <rPr>
        <sz val="10"/>
        <rFont val="Arial CE"/>
        <charset val="238"/>
      </rPr>
      <t>(art.82 ust.1 pkt 1 sufp) (art.89 ust.1 pkt 1 nufp)</t>
    </r>
    <r>
      <rPr>
        <b/>
        <sz val="10"/>
        <rFont val="Arial CE"/>
        <family val="2"/>
        <charset val="238"/>
      </rPr>
      <t>,</t>
    </r>
  </si>
  <si>
    <r>
      <t xml:space="preserve">K. Wskaźnik rocznej spłaty łącznego zadłużenia  
    do dochodu </t>
    </r>
    <r>
      <rPr>
        <b/>
        <sz val="10"/>
        <rFont val="Arial CE"/>
        <charset val="238"/>
      </rPr>
      <t xml:space="preserve"> (poz.50 / poz.1) %</t>
    </r>
  </si>
  <si>
    <r>
      <t xml:space="preserve">K1. Wskaźnik rocznej spłaty zadłużenia do 
     dochodu </t>
    </r>
    <r>
      <rPr>
        <i/>
        <sz val="10"/>
        <rFont val="Arial CE"/>
        <charset val="238"/>
      </rPr>
      <t>(bez poz. 56)</t>
    </r>
    <r>
      <rPr>
        <b/>
        <sz val="10"/>
        <rFont val="Arial CE"/>
        <charset val="238"/>
      </rPr>
      <t xml:space="preserve"> ((poz.50 (-) poz. 56) / poz.1) %</t>
    </r>
  </si>
  <si>
    <r>
      <t xml:space="preserve">L1. Relacja z art. 243 nufp </t>
    </r>
    <r>
      <rPr>
        <sz val="10"/>
        <rFont val="Arial CE"/>
        <charset val="238"/>
      </rPr>
      <t>(śr. arytm. z 3 lat poprz.)</t>
    </r>
    <r>
      <rPr>
        <vertAlign val="superscript"/>
        <sz val="10"/>
        <rFont val="Arial CE"/>
        <charset val="238"/>
      </rPr>
      <t>3)</t>
    </r>
  </si>
  <si>
    <r>
      <t xml:space="preserve">L2. Relacja z art. 243 nufp 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budż./bez wyłączeń (art. 243 ust. 3))</t>
    </r>
    <r>
      <rPr>
        <vertAlign val="superscript"/>
        <sz val="10"/>
        <rFont val="Arial CE"/>
        <charset val="238"/>
      </rPr>
      <t>4)</t>
    </r>
  </si>
  <si>
    <r>
      <t xml:space="preserve">L2. Relacja z art. 243 nufp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budż./z wyłączeniami (art. 243 ust. 3))</t>
    </r>
    <r>
      <rPr>
        <vertAlign val="superscript"/>
        <sz val="10"/>
        <rFont val="Arial CE"/>
        <charset val="238"/>
      </rPr>
      <t>4)</t>
    </r>
  </si>
  <si>
    <t>G. Umorzenie pożyczki/ operacje niekasowe</t>
  </si>
  <si>
    <t>Suma</t>
  </si>
  <si>
    <t>Załącznik Nr 1
do wniosku 
z dnia 19.09.2011</t>
  </si>
  <si>
    <t xml:space="preserve">Informacja finansowa
Wójta Gminy Widuchowa
dotycząca wykupu papierów wartościowych
w kwocie 3.557. 0000 zł
</t>
  </si>
  <si>
    <t>Załącznik Nr 1
do Zarządzenia Nr ???/2011 Wójta Gminy Widuchowa 
z dnia 16 września 2011 r.</t>
  </si>
  <si>
    <t>2011 3kw</t>
  </si>
  <si>
    <t>2024 r.</t>
  </si>
  <si>
    <t>2025 r.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</si>
  <si>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</si>
  <si>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Dochody ogółem</t>
  </si>
  <si>
    <t>Dochody bieżące</t>
  </si>
  <si>
    <t xml:space="preserve">w tym: </t>
  </si>
  <si>
    <t>środki z UE*</t>
  </si>
  <si>
    <t xml:space="preserve">Dochody majątkowe </t>
  </si>
  <si>
    <t>ze sprzedaży majątku</t>
  </si>
  <si>
    <t>Wydatki ogółem</t>
  </si>
  <si>
    <t>Wydatki bieżące</t>
  </si>
  <si>
    <t>wydatki bieżące bez wydatków na obsługę długu</t>
  </si>
  <si>
    <t xml:space="preserve">  w tym: </t>
  </si>
  <si>
    <t xml:space="preserve">z tytułu poręczeń i gwarancji </t>
  </si>
  <si>
    <t>w tym: gwarancje i poręczenia podlegające wyłączeniu z limitów spłaty zobowiązań z art. 243 ufp/169 sufp</t>
  </si>
  <si>
    <t>na projekty realizowane przy udziale środków, o których mowa w art. 5 ust. 1 pkt 2</t>
  </si>
  <si>
    <t>wydatki na obsługę długu</t>
  </si>
  <si>
    <t>w tym:</t>
  </si>
  <si>
    <t xml:space="preserve">odsetki i dyskonto </t>
  </si>
  <si>
    <t>Wydatki majątkowe</t>
  </si>
  <si>
    <t>Wynik budżetu</t>
  </si>
  <si>
    <t>Dochody bieżące - 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</si>
  <si>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</si>
  <si>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</si>
  <si>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</si>
  <si>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</si>
  <si>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Inne przychody niezwiązane z zaciągnięciem długu</t>
  </si>
  <si>
    <t xml:space="preserve">Rozchody budżetu </t>
  </si>
  <si>
    <t>Spłaty rat kapitałowych oraz wykup papierów wartościowych</t>
  </si>
  <si>
    <t>w tym: kwota wyłączeń z art. 243 ust. 3 pkt 1ufp oraz art. 169 ust. 3 sufp przypadająca na dany rok</t>
  </si>
  <si>
    <t>Inne rozchody (bez spłaty długu, np. udzielane pożyczki)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</si>
  <si>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</si>
  <si>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</si>
  <si>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</si>
  <si>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</si>
  <si>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</si>
  <si>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</si>
  <si>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</si>
  <si>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</si>
  <si>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</si>
  <si>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 xml:space="preserve">Kwota zobowiązań przypadających do spłaty w danym roku budżetowym, 
podlegająca doliczeniu zgodnie z art. 244 ufp (zobowiązania związku współtworzonego przez JST) </t>
  </si>
  <si>
    <t>Maksymalny dopuszczalny wskaźnik spłaty z art. 243 ufp</t>
  </si>
  <si>
    <t>Relacja planowanej łącznej kwoty spłaty zobowiązań do dochodów  (bez wyłączeń)</t>
  </si>
  <si>
    <t>13a.</t>
  </si>
  <si>
    <t>Spełnienie wskaźnika spłaty z art. 243 ufp po uwzględnieniu art. 244 ufp (bez wyłączeń)</t>
  </si>
  <si>
    <t>14.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</si>
  <si>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</si>
  <si>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</si>
  <si>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</si>
  <si>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15.</t>
  </si>
  <si>
    <t>Informacja z art. 226 ust. 2, tj. wydatki:</t>
  </si>
  <si>
    <t>na wynagrodzenia i składki od nich naliczane</t>
  </si>
  <si>
    <t>związane z funkcjonowaniem organów JST</t>
  </si>
  <si>
    <t>bieżące objęte limitem art. 226 ust. 4 ufp</t>
  </si>
  <si>
    <t>majątkowe objęte limitem art. 226 ust. 4 ufp</t>
  </si>
  <si>
    <t>Przeznaczenie nadwyżki wykonanej w poszczególnych latach objętych prognozą:</t>
  </si>
  <si>
    <t>Wartość przejętych zobowiązań</t>
  </si>
  <si>
    <t>w tym od spzoz</t>
  </si>
  <si>
    <t>* środki, o których mowa w art. 5 ust. 1 pkt 2 ustawy o finansach publicznych z 2009 r.</t>
  </si>
  <si>
    <t>brak nadwyzki</t>
  </si>
  <si>
    <t>wykup papierów wartosciowych</t>
  </si>
  <si>
    <t>Wieloletnia prognoza finansowa Gminy Widuchowa na lata 2012 - 2025</t>
  </si>
  <si>
    <t>spłata rat kapitałowych wykup obligacji</t>
  </si>
  <si>
    <t xml:space="preserve">Załącznik Nr 1
 do Uchwały Nr XI/97/2011 
 Rady Gminy Widuchowa 
 z dnia 8 grudnia 2011 r.
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</si>
</sst>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_ ;[Red]\-#,##0\ "/>
    <numFmt numFmtId="166" formatCode="#,##0.0000"/>
  </numFmts>
  <fonts count="46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theme="1"/>
      <name val="Czcionka tekstu podstawowego"/>
      <family val="2"/>
      <charset val="238"/>
    </font>
    <font>
      <i/>
      <sz val="10"/>
      <name val="Arial CE"/>
      <charset val="238"/>
    </font>
    <font>
      <b/>
      <i/>
      <u/>
      <sz val="10"/>
      <name val="Arial CE"/>
      <family val="2"/>
      <charset val="238"/>
    </font>
    <font>
      <sz val="10"/>
      <name val="Czcionka tekstu podstawowego"/>
      <charset val="238"/>
    </font>
    <font>
      <b/>
      <vertAlign val="superscript"/>
      <sz val="10"/>
      <name val="Czcionka tekstu podstawowego"/>
      <charset val="238"/>
    </font>
    <font>
      <b/>
      <vertAlign val="superscript"/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Times New Roman"/>
      <family val="1"/>
    </font>
    <font>
      <sz val="8"/>
      <color indexed="8"/>
      <name val="Czcionka tekstu podstawowego"/>
      <family val="2"/>
      <charset val="238"/>
    </font>
    <font>
      <b/>
      <sz val="8"/>
      <name val="Times New Roman"/>
      <family val="1"/>
      <charset val="238"/>
    </font>
    <font>
      <sz val="8"/>
      <name val="Czcionka tekstu podstawowego"/>
      <family val="2"/>
      <charset val="238"/>
    </font>
    <font>
      <sz val="9"/>
      <color indexed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465926084170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2" fillId="0" borderId="0"/>
  </cellStyleXfs>
  <cellXfs count="3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vertical="top" wrapText="1"/>
    </xf>
    <xf numFmtId="3" fontId="7" fillId="4" borderId="5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7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6" borderId="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6" fillId="6" borderId="24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9" xfId="1" applyFont="1" applyBorder="1" applyAlignment="1">
      <alignment vertical="center" wrapText="1"/>
    </xf>
    <xf numFmtId="0" fontId="14" fillId="0" borderId="26" xfId="1" applyFont="1" applyBorder="1" applyAlignment="1">
      <alignment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vertical="center" wrapText="1"/>
    </xf>
    <xf numFmtId="0" fontId="14" fillId="0" borderId="32" xfId="1" applyFont="1" applyBorder="1" applyAlignment="1">
      <alignment horizontal="center" vertical="center"/>
    </xf>
    <xf numFmtId="0" fontId="14" fillId="0" borderId="19" xfId="1" applyFont="1" applyFill="1" applyBorder="1" applyAlignment="1">
      <alignment vertical="center" wrapText="1"/>
    </xf>
    <xf numFmtId="0" fontId="14" fillId="0" borderId="26" xfId="1" applyFont="1" applyFill="1" applyBorder="1" applyAlignment="1">
      <alignment vertical="center" wrapText="1"/>
    </xf>
    <xf numFmtId="0" fontId="14" fillId="0" borderId="19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 wrapText="1"/>
    </xf>
    <xf numFmtId="0" fontId="14" fillId="0" borderId="12" xfId="1" applyFont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1" applyFont="1"/>
    <xf numFmtId="0" fontId="19" fillId="0" borderId="0" xfId="0" applyFont="1"/>
    <xf numFmtId="0" fontId="16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/>
    </xf>
    <xf numFmtId="0" fontId="3" fillId="0" borderId="11" xfId="1" applyFont="1" applyBorder="1"/>
    <xf numFmtId="0" fontId="16" fillId="0" borderId="11" xfId="1" applyFont="1" applyBorder="1" applyAlignment="1">
      <alignment vertical="center"/>
    </xf>
    <xf numFmtId="0" fontId="3" fillId="0" borderId="13" xfId="1" applyFont="1" applyBorder="1"/>
    <xf numFmtId="0" fontId="16" fillId="0" borderId="11" xfId="1" applyFont="1" applyBorder="1" applyAlignment="1">
      <alignment horizontal="center" vertical="center"/>
    </xf>
    <xf numFmtId="0" fontId="16" fillId="6" borderId="14" xfId="1" applyFont="1" applyFill="1" applyBorder="1" applyAlignment="1">
      <alignment vertical="center"/>
    </xf>
    <xf numFmtId="3" fontId="17" fillId="6" borderId="11" xfId="1" applyNumberFormat="1" applyFont="1" applyFill="1" applyBorder="1" applyAlignment="1">
      <alignment vertical="center"/>
    </xf>
    <xf numFmtId="0" fontId="14" fillId="0" borderId="16" xfId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14" fillId="0" borderId="19" xfId="1" applyFont="1" applyBorder="1" applyAlignment="1">
      <alignment vertical="center"/>
    </xf>
    <xf numFmtId="3" fontId="14" fillId="0" borderId="20" xfId="1" applyNumberFormat="1" applyFont="1" applyBorder="1" applyAlignment="1">
      <alignment vertical="center"/>
    </xf>
    <xf numFmtId="3" fontId="14" fillId="0" borderId="22" xfId="1" applyNumberFormat="1" applyFont="1" applyBorder="1" applyAlignment="1">
      <alignment vertical="center"/>
    </xf>
    <xf numFmtId="0" fontId="16" fillId="6" borderId="14" xfId="1" applyFont="1" applyFill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3" fontId="14" fillId="0" borderId="27" xfId="1" applyNumberFormat="1" applyFont="1" applyBorder="1" applyAlignment="1">
      <alignment vertical="center"/>
    </xf>
    <xf numFmtId="3" fontId="16" fillId="6" borderId="11" xfId="1" applyNumberFormat="1" applyFont="1" applyFill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7" fillId="0" borderId="26" xfId="1" applyFont="1" applyBorder="1" applyAlignment="1">
      <alignment vertical="center" wrapText="1"/>
    </xf>
    <xf numFmtId="3" fontId="14" fillId="0" borderId="30" xfId="1" applyNumberFormat="1" applyFont="1" applyBorder="1" applyAlignment="1">
      <alignment vertical="center"/>
    </xf>
    <xf numFmtId="0" fontId="17" fillId="0" borderId="19" xfId="1" applyFont="1" applyBorder="1" applyAlignment="1">
      <alignment vertical="center" wrapText="1"/>
    </xf>
    <xf numFmtId="0" fontId="16" fillId="0" borderId="13" xfId="1" applyFont="1" applyBorder="1" applyAlignment="1">
      <alignment vertical="center"/>
    </xf>
    <xf numFmtId="3" fontId="14" fillId="0" borderId="31" xfId="1" applyNumberFormat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6" xfId="1" applyFont="1" applyFill="1" applyBorder="1" applyAlignment="1">
      <alignment vertical="center"/>
    </xf>
    <xf numFmtId="0" fontId="16" fillId="0" borderId="26" xfId="1" applyFont="1" applyFill="1" applyBorder="1" applyAlignment="1">
      <alignment vertical="center" wrapText="1"/>
    </xf>
    <xf numFmtId="3" fontId="14" fillId="0" borderId="27" xfId="1" applyNumberFormat="1" applyFont="1" applyBorder="1" applyAlignment="1"/>
    <xf numFmtId="0" fontId="16" fillId="0" borderId="19" xfId="1" applyFont="1" applyFill="1" applyBorder="1" applyAlignment="1">
      <alignment vertical="center" wrapText="1"/>
    </xf>
    <xf numFmtId="3" fontId="14" fillId="0" borderId="27" xfId="1" applyNumberFormat="1" applyFont="1" applyFill="1" applyBorder="1" applyAlignment="1">
      <alignment vertical="center"/>
    </xf>
    <xf numFmtId="3" fontId="14" fillId="0" borderId="22" xfId="1" applyNumberFormat="1" applyFont="1" applyBorder="1" applyAlignment="1"/>
    <xf numFmtId="2" fontId="17" fillId="6" borderId="35" xfId="1" applyNumberFormat="1" applyFont="1" applyFill="1" applyBorder="1" applyAlignment="1">
      <alignment horizontal="center" vertical="center"/>
    </xf>
    <xf numFmtId="2" fontId="17" fillId="6" borderId="36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horizontal="center" vertical="center"/>
    </xf>
    <xf numFmtId="2" fontId="17" fillId="0" borderId="37" xfId="1" applyNumberFormat="1" applyFont="1" applyFill="1" applyBorder="1" applyAlignment="1">
      <alignment horizontal="center" vertical="center"/>
    </xf>
    <xf numFmtId="2" fontId="17" fillId="0" borderId="38" xfId="1" applyNumberFormat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vertical="center" wrapText="1"/>
    </xf>
    <xf numFmtId="3" fontId="14" fillId="0" borderId="17" xfId="1" applyNumberFormat="1" applyFont="1" applyFill="1" applyBorder="1" applyAlignment="1">
      <alignment vertical="center"/>
    </xf>
    <xf numFmtId="3" fontId="14" fillId="0" borderId="40" xfId="1" applyNumberFormat="1" applyFont="1" applyFill="1" applyBorder="1" applyAlignment="1">
      <alignment vertical="center"/>
    </xf>
    <xf numFmtId="3" fontId="14" fillId="0" borderId="41" xfId="1" applyNumberFormat="1" applyFont="1" applyFill="1" applyBorder="1" applyAlignment="1">
      <alignment vertical="center"/>
    </xf>
    <xf numFmtId="3" fontId="14" fillId="0" borderId="42" xfId="1" applyNumberFormat="1" applyFont="1" applyFill="1" applyBorder="1" applyAlignment="1">
      <alignment vertical="center"/>
    </xf>
    <xf numFmtId="3" fontId="14" fillId="0" borderId="31" xfId="1" applyNumberFormat="1" applyFont="1" applyFill="1" applyBorder="1" applyAlignment="1">
      <alignment vertical="center"/>
    </xf>
    <xf numFmtId="3" fontId="14" fillId="0" borderId="37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20" xfId="1" applyNumberFormat="1" applyFont="1" applyFill="1" applyBorder="1" applyAlignment="1">
      <alignment vertical="center"/>
    </xf>
    <xf numFmtId="3" fontId="14" fillId="0" borderId="44" xfId="1" applyNumberFormat="1" applyFont="1" applyFill="1" applyBorder="1" applyAlignment="1">
      <alignment vertical="center"/>
    </xf>
    <xf numFmtId="3" fontId="14" fillId="0" borderId="38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2" fontId="17" fillId="6" borderId="38" xfId="1" applyNumberFormat="1" applyFont="1" applyFill="1" applyBorder="1" applyAlignment="1">
      <alignment horizontal="center" vertical="center"/>
    </xf>
    <xf numFmtId="0" fontId="16" fillId="7" borderId="14" xfId="1" applyFont="1" applyFill="1" applyBorder="1" applyAlignment="1">
      <alignment vertical="center" wrapText="1"/>
    </xf>
    <xf numFmtId="2" fontId="17" fillId="7" borderId="38" xfId="1" applyNumberFormat="1" applyFont="1" applyFill="1" applyBorder="1" applyAlignment="1">
      <alignment horizontal="center" vertical="center"/>
    </xf>
    <xf numFmtId="2" fontId="17" fillId="7" borderId="11" xfId="1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3" fontId="14" fillId="0" borderId="30" xfId="1" applyNumberFormat="1" applyFont="1" applyFill="1" applyBorder="1" applyAlignment="1">
      <alignment vertical="center"/>
    </xf>
    <xf numFmtId="10" fontId="17" fillId="6" borderId="11" xfId="1" applyNumberFormat="1" applyFont="1" applyFill="1" applyBorder="1" applyAlignment="1">
      <alignment horizontal="center" vertical="center"/>
    </xf>
    <xf numFmtId="10" fontId="17" fillId="0" borderId="11" xfId="1" applyNumberFormat="1" applyFont="1" applyFill="1" applyBorder="1" applyAlignment="1">
      <alignment horizontal="center" vertical="center"/>
    </xf>
    <xf numFmtId="3" fontId="16" fillId="0" borderId="39" xfId="1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top" wrapText="1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vertical="top" wrapText="1"/>
    </xf>
    <xf numFmtId="0" fontId="11" fillId="10" borderId="4" xfId="0" applyFont="1" applyFill="1" applyBorder="1" applyAlignment="1">
      <alignment horizontal="right" vertical="top" wrapText="1"/>
    </xf>
    <xf numFmtId="0" fontId="11" fillId="10" borderId="1" xfId="0" applyFont="1" applyFill="1" applyBorder="1" applyAlignment="1">
      <alignment vertical="top" wrapText="1"/>
    </xf>
    <xf numFmtId="0" fontId="11" fillId="9" borderId="46" xfId="0" applyFont="1" applyFill="1" applyBorder="1" applyAlignment="1">
      <alignment horizontal="right" vertical="top" wrapText="1"/>
    </xf>
    <xf numFmtId="0" fontId="11" fillId="9" borderId="2" xfId="0" applyFont="1" applyFill="1" applyBorder="1" applyAlignment="1">
      <alignment vertical="top" wrapText="1"/>
    </xf>
    <xf numFmtId="3" fontId="28" fillId="11" borderId="1" xfId="0" applyNumberFormat="1" applyFont="1" applyFill="1" applyBorder="1"/>
    <xf numFmtId="4" fontId="7" fillId="2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9" fontId="33" fillId="6" borderId="50" xfId="2" applyNumberFormat="1" applyFont="1" applyFill="1" applyBorder="1" applyAlignment="1">
      <alignment horizontal="center" vertical="center"/>
    </xf>
    <xf numFmtId="49" fontId="33" fillId="6" borderId="51" xfId="2" applyNumberFormat="1" applyFont="1" applyFill="1" applyBorder="1" applyAlignment="1">
      <alignment vertical="center"/>
    </xf>
    <xf numFmtId="49" fontId="33" fillId="6" borderId="52" xfId="2" applyNumberFormat="1" applyFont="1" applyFill="1" applyBorder="1" applyAlignment="1">
      <alignment vertical="center" wrapText="1"/>
    </xf>
    <xf numFmtId="1" fontId="34" fillId="6" borderId="3" xfId="2" applyNumberFormat="1" applyFont="1" applyFill="1" applyBorder="1" applyAlignment="1">
      <alignment horizontal="center" vertical="center"/>
    </xf>
    <xf numFmtId="0" fontId="35" fillId="0" borderId="0" xfId="0" applyFont="1"/>
    <xf numFmtId="0" fontId="33" fillId="0" borderId="34" xfId="2" applyFont="1" applyFill="1" applyBorder="1" applyAlignment="1">
      <alignment horizontal="center" vertical="center"/>
    </xf>
    <xf numFmtId="0" fontId="33" fillId="0" borderId="53" xfId="2" applyFont="1" applyBorder="1" applyAlignment="1">
      <alignment vertical="center"/>
    </xf>
    <xf numFmtId="0" fontId="33" fillId="0" borderId="54" xfId="2" applyFont="1" applyBorder="1" applyAlignment="1">
      <alignment vertical="center" wrapText="1"/>
    </xf>
    <xf numFmtId="0" fontId="36" fillId="0" borderId="27" xfId="2" applyFont="1" applyFill="1" applyBorder="1" applyAlignment="1">
      <alignment horizontal="center" vertical="center"/>
    </xf>
    <xf numFmtId="0" fontId="36" fillId="0" borderId="56" xfId="2" applyFont="1" applyBorder="1" applyAlignment="1">
      <alignment vertical="center" wrapText="1"/>
    </xf>
    <xf numFmtId="0" fontId="36" fillId="0" borderId="56" xfId="2" applyFont="1" applyBorder="1" applyAlignment="1">
      <alignment horizontal="left" vertical="center" wrapText="1"/>
    </xf>
    <xf numFmtId="0" fontId="39" fillId="0" borderId="57" xfId="2" applyFont="1" applyBorder="1" applyAlignment="1">
      <alignment horizontal="left" vertical="center" wrapText="1"/>
    </xf>
    <xf numFmtId="0" fontId="36" fillId="0" borderId="22" xfId="2" applyFont="1" applyFill="1" applyBorder="1" applyAlignment="1">
      <alignment horizontal="center" vertical="center"/>
    </xf>
    <xf numFmtId="0" fontId="36" fillId="0" borderId="49" xfId="2" applyFont="1" applyBorder="1" applyAlignment="1">
      <alignment vertical="center" wrapText="1"/>
    </xf>
    <xf numFmtId="0" fontId="36" fillId="0" borderId="49" xfId="2" applyFont="1" applyBorder="1" applyAlignment="1">
      <alignment horizontal="left" vertical="center" wrapText="1"/>
    </xf>
    <xf numFmtId="0" fontId="36" fillId="0" borderId="57" xfId="2" applyFont="1" applyBorder="1" applyAlignment="1">
      <alignment horizontal="left" vertical="center" wrapText="1"/>
    </xf>
    <xf numFmtId="0" fontId="36" fillId="0" borderId="30" xfId="2" applyFont="1" applyFill="1" applyBorder="1" applyAlignment="1">
      <alignment horizontal="center" vertical="center"/>
    </xf>
    <xf numFmtId="0" fontId="36" fillId="0" borderId="51" xfId="2" quotePrefix="1" applyFont="1" applyBorder="1" applyAlignment="1">
      <alignment vertical="center" wrapText="1"/>
    </xf>
    <xf numFmtId="0" fontId="35" fillId="0" borderId="0" xfId="0" applyFont="1" applyBorder="1"/>
    <xf numFmtId="0" fontId="33" fillId="0" borderId="27" xfId="2" applyFont="1" applyFill="1" applyBorder="1" applyAlignment="1">
      <alignment horizontal="center" vertical="center"/>
    </xf>
    <xf numFmtId="0" fontId="33" fillId="0" borderId="56" xfId="2" applyFont="1" applyBorder="1" applyAlignment="1">
      <alignment vertical="center" wrapText="1"/>
    </xf>
    <xf numFmtId="0" fontId="36" fillId="0" borderId="56" xfId="2" applyFont="1" applyBorder="1" applyAlignment="1">
      <alignment vertical="center"/>
    </xf>
    <xf numFmtId="0" fontId="36" fillId="0" borderId="57" xfId="2" applyFont="1" applyBorder="1" applyAlignment="1">
      <alignment vertical="center" wrapText="1"/>
    </xf>
    <xf numFmtId="0" fontId="40" fillId="0" borderId="56" xfId="0" applyFont="1" applyBorder="1"/>
    <xf numFmtId="0" fontId="39" fillId="0" borderId="57" xfId="2" applyFont="1" applyBorder="1" applyAlignment="1">
      <alignment horizontal="left" vertical="center" wrapText="1" indent="2"/>
    </xf>
    <xf numFmtId="0" fontId="39" fillId="0" borderId="57" xfId="2" applyFont="1" applyBorder="1" applyAlignment="1">
      <alignment horizontal="left" vertical="center" wrapText="1" indent="3"/>
    </xf>
    <xf numFmtId="0" fontId="33" fillId="0" borderId="22" xfId="2" applyFont="1" applyFill="1" applyBorder="1" applyAlignment="1">
      <alignment horizontal="center" vertical="center"/>
    </xf>
    <xf numFmtId="0" fontId="33" fillId="0" borderId="49" xfId="2" applyFont="1" applyBorder="1" applyAlignment="1">
      <alignment vertical="center" wrapText="1"/>
    </xf>
    <xf numFmtId="0" fontId="36" fillId="0" borderId="59" xfId="2" applyFont="1" applyBorder="1" applyAlignment="1">
      <alignment vertical="center" wrapText="1"/>
    </xf>
    <xf numFmtId="0" fontId="36" fillId="12" borderId="57" xfId="2" applyFont="1" applyFill="1" applyBorder="1" applyAlignment="1">
      <alignment horizontal="left" vertical="center" wrapText="1" indent="2"/>
    </xf>
    <xf numFmtId="0" fontId="39" fillId="0" borderId="57" xfId="2" applyFont="1" applyBorder="1" applyAlignment="1">
      <alignment vertical="center" wrapText="1"/>
    </xf>
    <xf numFmtId="0" fontId="33" fillId="0" borderId="50" xfId="2" applyFont="1" applyFill="1" applyBorder="1" applyAlignment="1">
      <alignment horizontal="center" vertical="center"/>
    </xf>
    <xf numFmtId="0" fontId="33" fillId="0" borderId="45" xfId="2" applyFont="1" applyBorder="1" applyAlignment="1">
      <alignment vertical="center"/>
    </xf>
    <xf numFmtId="0" fontId="33" fillId="0" borderId="60" xfId="2" applyFont="1" applyBorder="1" applyAlignment="1">
      <alignment vertical="center" wrapText="1"/>
    </xf>
    <xf numFmtId="0" fontId="33" fillId="0" borderId="11" xfId="2" applyFont="1" applyFill="1" applyBorder="1" applyAlignment="1">
      <alignment horizontal="center" vertical="center"/>
    </xf>
    <xf numFmtId="0" fontId="41" fillId="0" borderId="62" xfId="2" applyFont="1" applyFill="1" applyBorder="1" applyAlignment="1">
      <alignment horizontal="left" vertical="center"/>
    </xf>
    <xf numFmtId="0" fontId="33" fillId="0" borderId="62" xfId="2" applyFont="1" applyFill="1" applyBorder="1" applyAlignment="1">
      <alignment horizontal="left" vertical="center" wrapText="1"/>
    </xf>
    <xf numFmtId="0" fontId="33" fillId="0" borderId="63" xfId="2" applyFont="1" applyFill="1" applyBorder="1" applyAlignment="1">
      <alignment horizontal="left" vertical="center" wrapText="1"/>
    </xf>
    <xf numFmtId="0" fontId="40" fillId="0" borderId="56" xfId="0" applyFont="1" applyBorder="1" applyAlignment="1"/>
    <xf numFmtId="0" fontId="36" fillId="12" borderId="57" xfId="2" quotePrefix="1" applyFont="1" applyFill="1" applyBorder="1" applyAlignment="1">
      <alignment horizontal="left" vertical="center" wrapText="1"/>
    </xf>
    <xf numFmtId="0" fontId="33" fillId="0" borderId="57" xfId="2" applyFont="1" applyBorder="1" applyAlignment="1">
      <alignment vertical="center" wrapText="1"/>
    </xf>
    <xf numFmtId="0" fontId="36" fillId="12" borderId="57" xfId="2" applyFont="1" applyFill="1" applyBorder="1" applyAlignment="1">
      <alignment vertical="center" wrapText="1"/>
    </xf>
    <xf numFmtId="0" fontId="40" fillId="0" borderId="51" xfId="0" applyFont="1" applyBorder="1" applyAlignment="1"/>
    <xf numFmtId="0" fontId="36" fillId="0" borderId="51" xfId="2" applyFont="1" applyBorder="1" applyAlignment="1">
      <alignment vertical="center"/>
    </xf>
    <xf numFmtId="0" fontId="36" fillId="12" borderId="52" xfId="2" applyFont="1" applyFill="1" applyBorder="1" applyAlignment="1">
      <alignment vertical="center" wrapText="1"/>
    </xf>
    <xf numFmtId="0" fontId="33" fillId="0" borderId="17" xfId="2" applyFont="1" applyFill="1" applyBorder="1" applyAlignment="1">
      <alignment horizontal="center" vertical="center"/>
    </xf>
    <xf numFmtId="0" fontId="33" fillId="0" borderId="65" xfId="2" applyFont="1" applyBorder="1" applyAlignment="1">
      <alignment vertical="center"/>
    </xf>
    <xf numFmtId="0" fontId="33" fillId="0" borderId="66" xfId="2" applyFont="1" applyBorder="1" applyAlignment="1">
      <alignment vertical="center" wrapText="1"/>
    </xf>
    <xf numFmtId="0" fontId="40" fillId="0" borderId="51" xfId="0" applyFont="1" applyBorder="1"/>
    <xf numFmtId="0" fontId="33" fillId="0" borderId="52" xfId="2" applyFont="1" applyBorder="1" applyAlignment="1">
      <alignment vertical="center" wrapText="1"/>
    </xf>
    <xf numFmtId="0" fontId="33" fillId="0" borderId="1" xfId="2" applyFont="1" applyFill="1" applyBorder="1" applyAlignment="1">
      <alignment horizontal="center" vertical="center"/>
    </xf>
    <xf numFmtId="10" fontId="34" fillId="0" borderId="1" xfId="2" applyNumberFormat="1" applyFont="1" applyBorder="1" applyAlignment="1">
      <alignment vertical="center"/>
    </xf>
    <xf numFmtId="0" fontId="36" fillId="0" borderId="51" xfId="2" applyFont="1" applyBorder="1" applyAlignment="1">
      <alignment vertical="center" wrapText="1"/>
    </xf>
    <xf numFmtId="0" fontId="36" fillId="0" borderId="51" xfId="2" applyFont="1" applyBorder="1" applyAlignment="1">
      <alignment horizontal="left" vertical="center"/>
    </xf>
    <xf numFmtId="0" fontId="40" fillId="0" borderId="67" xfId="0" applyFont="1" applyBorder="1" applyAlignment="1">
      <alignment wrapText="1"/>
    </xf>
    <xf numFmtId="0" fontId="33" fillId="0" borderId="68" xfId="0" applyFont="1" applyFill="1" applyBorder="1" applyAlignment="1">
      <alignment horizontal="center" vertical="top"/>
    </xf>
    <xf numFmtId="0" fontId="41" fillId="0" borderId="34" xfId="2" applyFont="1" applyFill="1" applyBorder="1" applyAlignment="1">
      <alignment horizontal="center" vertical="center"/>
    </xf>
    <xf numFmtId="0" fontId="41" fillId="0" borderId="53" xfId="2" applyFont="1" applyBorder="1" applyAlignment="1">
      <alignment vertical="center"/>
    </xf>
    <xf numFmtId="0" fontId="37" fillId="0" borderId="53" xfId="2" applyFont="1" applyBorder="1" applyAlignment="1">
      <alignment horizontal="left" vertical="center"/>
    </xf>
    <xf numFmtId="0" fontId="42" fillId="0" borderId="54" xfId="0" applyFont="1" applyBorder="1" applyAlignment="1">
      <alignment wrapText="1"/>
    </xf>
    <xf numFmtId="0" fontId="37" fillId="0" borderId="30" xfId="2" applyFont="1" applyFill="1" applyBorder="1" applyAlignment="1">
      <alignment horizontal="center" vertical="center"/>
    </xf>
    <xf numFmtId="0" fontId="37" fillId="0" borderId="51" xfId="2" applyFont="1" applyFill="1" applyBorder="1" applyAlignment="1">
      <alignment vertical="center"/>
    </xf>
    <xf numFmtId="0" fontId="37" fillId="0" borderId="0" xfId="2" quotePrefix="1" applyFont="1" applyBorder="1" applyAlignment="1">
      <alignment horizontal="right" vertical="center"/>
    </xf>
    <xf numFmtId="0" fontId="37" fillId="0" borderId="0" xfId="2" applyFont="1" applyBorder="1" applyAlignment="1">
      <alignment vertical="center" wrapText="1"/>
    </xf>
    <xf numFmtId="0" fontId="37" fillId="0" borderId="0" xfId="2" quotePrefix="1" applyFont="1" applyBorder="1" applyAlignment="1">
      <alignment horizontal="left" vertical="center" wrapText="1"/>
    </xf>
    <xf numFmtId="165" fontId="38" fillId="0" borderId="0" xfId="2" applyNumberFormat="1" applyFont="1" applyBorder="1" applyAlignment="1">
      <alignment vertical="center"/>
    </xf>
    <xf numFmtId="0" fontId="37" fillId="0" borderId="0" xfId="2" applyFont="1" applyBorder="1" applyAlignment="1">
      <alignment horizontal="left" vertical="center" wrapText="1"/>
    </xf>
    <xf numFmtId="0" fontId="38" fillId="0" borderId="0" xfId="2" quotePrefix="1" applyFont="1" applyBorder="1" applyAlignment="1">
      <alignment horizontal="right" vertical="center"/>
    </xf>
    <xf numFmtId="0" fontId="38" fillId="0" borderId="0" xfId="2" applyFont="1" applyBorder="1" applyAlignment="1">
      <alignment vertical="center" wrapText="1"/>
    </xf>
    <xf numFmtId="0" fontId="38" fillId="0" borderId="0" xfId="2" quotePrefix="1" applyFont="1" applyBorder="1" applyAlignment="1">
      <alignment horizontal="left" vertical="center" wrapText="1"/>
    </xf>
    <xf numFmtId="3" fontId="34" fillId="0" borderId="55" xfId="2" applyNumberFormat="1" applyFont="1" applyBorder="1" applyAlignment="1">
      <alignment vertical="center"/>
    </xf>
    <xf numFmtId="3" fontId="38" fillId="0" borderId="1" xfId="2" applyNumberFormat="1" applyFont="1" applyBorder="1" applyAlignment="1">
      <alignment vertical="center"/>
    </xf>
    <xf numFmtId="3" fontId="38" fillId="0" borderId="3" xfId="2" applyNumberFormat="1" applyFont="1" applyBorder="1" applyAlignment="1">
      <alignment vertical="center"/>
    </xf>
    <xf numFmtId="3" fontId="38" fillId="0" borderId="58" xfId="2" applyNumberFormat="1" applyFont="1" applyBorder="1" applyAlignment="1">
      <alignment vertical="center"/>
    </xf>
    <xf numFmtId="3" fontId="34" fillId="0" borderId="1" xfId="2" applyNumberFormat="1" applyFont="1" applyBorder="1" applyAlignment="1">
      <alignment vertical="center"/>
    </xf>
    <xf numFmtId="3" fontId="34" fillId="0" borderId="61" xfId="2" applyNumberFormat="1" applyFont="1" applyBorder="1" applyAlignment="1">
      <alignment vertical="center"/>
    </xf>
    <xf numFmtId="3" fontId="34" fillId="0" borderId="64" xfId="2" applyNumberFormat="1" applyFont="1" applyFill="1" applyBorder="1" applyAlignment="1">
      <alignment vertical="center"/>
    </xf>
    <xf numFmtId="3" fontId="34" fillId="0" borderId="14" xfId="2" applyNumberFormat="1" applyFont="1" applyFill="1" applyBorder="1" applyAlignment="1">
      <alignment vertical="center"/>
    </xf>
    <xf numFmtId="3" fontId="34" fillId="0" borderId="33" xfId="2" applyNumberFormat="1" applyFont="1" applyBorder="1" applyAlignment="1">
      <alignment vertical="center"/>
    </xf>
    <xf numFmtId="3" fontId="34" fillId="0" borderId="26" xfId="2" applyNumberFormat="1" applyFont="1" applyBorder="1" applyAlignment="1">
      <alignment vertical="center"/>
    </xf>
    <xf numFmtId="3" fontId="38" fillId="0" borderId="26" xfId="2" applyNumberFormat="1" applyFont="1" applyBorder="1" applyAlignment="1">
      <alignment vertical="center"/>
    </xf>
    <xf numFmtId="3" fontId="34" fillId="13" borderId="1" xfId="2" applyNumberFormat="1" applyFont="1" applyFill="1" applyBorder="1" applyAlignment="1">
      <alignment vertical="center"/>
    </xf>
    <xf numFmtId="3" fontId="34" fillId="13" borderId="26" xfId="2" applyNumberFormat="1" applyFont="1" applyFill="1" applyBorder="1" applyAlignment="1">
      <alignment vertical="center"/>
    </xf>
    <xf numFmtId="3" fontId="34" fillId="13" borderId="58" xfId="2" applyNumberFormat="1" applyFont="1" applyFill="1" applyBorder="1" applyAlignment="1">
      <alignment vertical="center"/>
    </xf>
    <xf numFmtId="3" fontId="34" fillId="13" borderId="29" xfId="2" applyNumberFormat="1" applyFont="1" applyFill="1" applyBorder="1" applyAlignment="1">
      <alignment vertical="center"/>
    </xf>
    <xf numFmtId="3" fontId="34" fillId="0" borderId="4" xfId="2" applyNumberFormat="1" applyFont="1" applyBorder="1" applyAlignment="1">
      <alignment vertical="center"/>
    </xf>
    <xf numFmtId="3" fontId="34" fillId="0" borderId="58" xfId="2" applyNumberFormat="1" applyFont="1" applyBorder="1" applyAlignment="1">
      <alignment vertical="center"/>
    </xf>
    <xf numFmtId="3" fontId="34" fillId="13" borderId="4" xfId="2" applyNumberFormat="1" applyFont="1" applyFill="1" applyBorder="1" applyAlignment="1">
      <alignment vertical="center"/>
    </xf>
    <xf numFmtId="3" fontId="34" fillId="6" borderId="1" xfId="2" applyNumberFormat="1" applyFont="1" applyFill="1" applyBorder="1" applyAlignment="1">
      <alignment vertical="center"/>
    </xf>
    <xf numFmtId="3" fontId="34" fillId="0" borderId="1" xfId="2" applyNumberFormat="1" applyFont="1" applyBorder="1" applyAlignment="1">
      <alignment horizontal="center" vertical="center" wrapText="1"/>
    </xf>
    <xf numFmtId="3" fontId="34" fillId="0" borderId="4" xfId="2" applyNumberFormat="1" applyFont="1" applyFill="1" applyBorder="1" applyAlignment="1">
      <alignment vertical="center"/>
    </xf>
    <xf numFmtId="3" fontId="34" fillId="0" borderId="16" xfId="2" applyNumberFormat="1" applyFont="1" applyFill="1" applyBorder="1" applyAlignment="1">
      <alignment vertical="center"/>
    </xf>
    <xf numFmtId="3" fontId="43" fillId="0" borderId="61" xfId="2" applyNumberFormat="1" applyFont="1" applyBorder="1" applyAlignment="1">
      <alignment vertical="center"/>
    </xf>
    <xf numFmtId="3" fontId="43" fillId="0" borderId="8" xfId="2" applyNumberFormat="1" applyFont="1" applyBorder="1" applyAlignment="1">
      <alignment vertical="center"/>
    </xf>
    <xf numFmtId="3" fontId="43" fillId="0" borderId="58" xfId="2" applyNumberFormat="1" applyFont="1" applyFill="1" applyBorder="1" applyAlignment="1">
      <alignment vertical="center"/>
    </xf>
    <xf numFmtId="3" fontId="43" fillId="0" borderId="29" xfId="2" applyNumberFormat="1" applyFont="1" applyFill="1" applyBorder="1" applyAlignment="1">
      <alignment vertical="center"/>
    </xf>
    <xf numFmtId="166" fontId="34" fillId="0" borderId="1" xfId="2" applyNumberFormat="1" applyFont="1" applyBorder="1" applyAlignment="1">
      <alignment vertical="center"/>
    </xf>
    <xf numFmtId="3" fontId="38" fillId="0" borderId="1" xfId="2" applyNumberFormat="1" applyFont="1" applyBorder="1" applyAlignment="1">
      <alignment horizontal="center" vertical="center" wrapText="1"/>
    </xf>
    <xf numFmtId="3" fontId="44" fillId="13" borderId="4" xfId="2" applyNumberFormat="1" applyFont="1" applyFill="1" applyBorder="1" applyAlignment="1">
      <alignment vertical="center"/>
    </xf>
    <xf numFmtId="3" fontId="34" fillId="0" borderId="4" xfId="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3" fontId="33" fillId="0" borderId="4" xfId="2" applyNumberFormat="1" applyFont="1" applyFill="1" applyBorder="1" applyAlignment="1">
      <alignment horizontal="center" vertical="center" wrapText="1"/>
    </xf>
    <xf numFmtId="3" fontId="45" fillId="13" borderId="4" xfId="2" applyNumberFormat="1" applyFont="1" applyFill="1" applyBorder="1" applyAlignment="1">
      <alignment vertical="center"/>
    </xf>
    <xf numFmtId="3" fontId="34" fillId="0" borderId="1" xfId="2" applyNumberFormat="1" applyFont="1" applyFill="1" applyBorder="1" applyAlignment="1">
      <alignment vertical="center"/>
    </xf>
    <xf numFmtId="0" fontId="36" fillId="0" borderId="56" xfId="2" applyFont="1" applyBorder="1" applyAlignment="1">
      <alignment horizontal="left" vertical="center" wrapText="1"/>
    </xf>
    <xf numFmtId="0" fontId="36" fillId="0" borderId="57" xfId="2" applyFont="1" applyBorder="1" applyAlignment="1">
      <alignment horizontal="left" vertical="center" wrapText="1"/>
    </xf>
    <xf numFmtId="0" fontId="40" fillId="0" borderId="57" xfId="0" applyFont="1" applyBorder="1"/>
    <xf numFmtId="0" fontId="33" fillId="0" borderId="4" xfId="0" applyFont="1" applyBorder="1" applyAlignment="1">
      <alignment horizontal="left" vertical="top" wrapText="1"/>
    </xf>
    <xf numFmtId="0" fontId="37" fillId="0" borderId="51" xfId="2" applyFont="1" applyFill="1" applyBorder="1" applyAlignment="1">
      <alignment horizontal="left" vertical="center" wrapText="1"/>
    </xf>
    <xf numFmtId="0" fontId="37" fillId="0" borderId="52" xfId="2" applyFont="1" applyFill="1" applyBorder="1" applyAlignment="1">
      <alignment horizontal="left" vertical="center" wrapText="1"/>
    </xf>
    <xf numFmtId="0" fontId="36" fillId="0" borderId="1" xfId="2" applyFont="1" applyBorder="1" applyAlignment="1">
      <alignment horizontal="left" vertical="center" wrapText="1"/>
    </xf>
    <xf numFmtId="0" fontId="36" fillId="12" borderId="1" xfId="2" applyFont="1" applyFill="1" applyBorder="1" applyAlignment="1">
      <alignment horizontal="left" vertical="center" wrapText="1"/>
    </xf>
    <xf numFmtId="0" fontId="33" fillId="0" borderId="15" xfId="2" applyFont="1" applyBorder="1" applyAlignment="1">
      <alignment horizontal="left" vertical="center"/>
    </xf>
    <xf numFmtId="0" fontId="33" fillId="0" borderId="65" xfId="2" applyFont="1" applyBorder="1" applyAlignment="1">
      <alignment horizontal="left" vertical="center"/>
    </xf>
    <xf numFmtId="0" fontId="33" fillId="0" borderId="66" xfId="2" applyFont="1" applyBorder="1" applyAlignment="1">
      <alignment horizontal="left" vertical="center"/>
    </xf>
    <xf numFmtId="0" fontId="36" fillId="0" borderId="23" xfId="2" applyFont="1" applyBorder="1" applyAlignment="1">
      <alignment horizontal="left" vertical="center" wrapText="1"/>
    </xf>
    <xf numFmtId="0" fontId="36" fillId="12" borderId="56" xfId="2" applyFont="1" applyFill="1" applyBorder="1" applyAlignment="1">
      <alignment horizontal="left" vertical="center" wrapText="1" indent="2"/>
    </xf>
    <xf numFmtId="0" fontId="36" fillId="12" borderId="57" xfId="2" applyFont="1" applyFill="1" applyBorder="1" applyAlignment="1">
      <alignment horizontal="left" vertical="center" wrapText="1" indent="2"/>
    </xf>
    <xf numFmtId="0" fontId="37" fillId="12" borderId="56" xfId="2" applyFont="1" applyFill="1" applyBorder="1" applyAlignment="1">
      <alignment horizontal="left" vertical="center" wrapText="1"/>
    </xf>
    <xf numFmtId="0" fontId="37" fillId="12" borderId="57" xfId="2" applyFont="1" applyFill="1" applyBorder="1" applyAlignment="1">
      <alignment horizontal="left" vertical="center" wrapText="1"/>
    </xf>
    <xf numFmtId="0" fontId="33" fillId="0" borderId="23" xfId="2" applyFont="1" applyBorder="1" applyAlignment="1">
      <alignment horizontal="left" vertical="center" wrapText="1"/>
    </xf>
    <xf numFmtId="0" fontId="33" fillId="0" borderId="56" xfId="2" applyFont="1" applyBorder="1" applyAlignment="1">
      <alignment horizontal="left" vertical="center" wrapText="1"/>
    </xf>
    <xf numFmtId="0" fontId="33" fillId="0" borderId="57" xfId="2" applyFont="1" applyBorder="1" applyAlignment="1">
      <alignment horizontal="left" vertical="center" wrapText="1"/>
    </xf>
    <xf numFmtId="0" fontId="36" fillId="0" borderId="1" xfId="2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left" wrapText="1"/>
    </xf>
    <xf numFmtId="0" fontId="37" fillId="0" borderId="56" xfId="2" applyFont="1" applyBorder="1" applyAlignment="1">
      <alignment horizontal="left" vertical="center" wrapText="1"/>
    </xf>
    <xf numFmtId="0" fontId="37" fillId="0" borderId="57" xfId="2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4" fillId="0" borderId="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8" fillId="0" borderId="45" xfId="1" applyFont="1" applyBorder="1" applyAlignment="1">
      <alignment horizontal="left" vertical="top" wrapText="1"/>
    </xf>
    <xf numFmtId="0" fontId="19" fillId="0" borderId="0" xfId="0" applyFont="1"/>
    <xf numFmtId="0" fontId="1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top" wrapText="1"/>
    </xf>
    <xf numFmtId="0" fontId="26" fillId="0" borderId="46" xfId="0" applyFont="1" applyBorder="1" applyAlignment="1">
      <alignment horizontal="center" vertical="top" wrapText="1"/>
    </xf>
    <xf numFmtId="0" fontId="27" fillId="8" borderId="47" xfId="0" applyFont="1" applyFill="1" applyBorder="1" applyAlignment="1">
      <alignment horizontal="center" vertical="center"/>
    </xf>
    <xf numFmtId="0" fontId="0" fillId="0" borderId="49" xfId="0" applyBorder="1" applyAlignment="1"/>
    <xf numFmtId="3" fontId="38" fillId="0" borderId="1" xfId="2" applyNumberFormat="1" applyFont="1" applyFill="1" applyBorder="1" applyAlignment="1">
      <alignment vertical="center"/>
    </xf>
    <xf numFmtId="3" fontId="38" fillId="0" borderId="58" xfId="2" applyNumberFormat="1" applyFont="1" applyFill="1" applyBorder="1" applyAlignment="1">
      <alignment vertical="center"/>
    </xf>
  </cellXfs>
  <cellStyles count="3">
    <cellStyle name="Normalny" xfId="0" builtinId="0"/>
    <cellStyle name="Normalny 6 2" xfId="2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63"/>
  <sheetViews>
    <sheetView tabSelected="1" view="pageBreakPreview" zoomScale="90" zoomScaleNormal="100" zoomScaleSheetLayoutView="90" workbookViewId="0">
      <selection activeCell="D22" sqref="D22"/>
    </sheetView>
  </sheetViews>
  <sheetFormatPr defaultRowHeight="14.25"/>
  <cols>
    <col min="1" max="1" width="5.5" style="1" customWidth="1"/>
    <col min="2" max="2" width="1.875" customWidth="1"/>
    <col min="3" max="3" width="2.5" customWidth="1"/>
    <col min="4" max="4" width="55.625" customWidth="1"/>
    <col min="5" max="19" width="11.25" customWidth="1"/>
    <col min="20" max="25" width="9.25" customWidth="1"/>
  </cols>
  <sheetData>
    <row r="1" spans="1:248" ht="51" customHeight="1">
      <c r="A1" s="282" t="s">
        <v>220</v>
      </c>
      <c r="B1" s="282"/>
      <c r="C1" s="282"/>
      <c r="D1" s="282"/>
      <c r="O1" s="279" t="s">
        <v>281</v>
      </c>
      <c r="P1" s="279"/>
      <c r="Q1" s="279"/>
      <c r="R1" s="279"/>
    </row>
    <row r="2" spans="1:248" ht="48" customHeight="1" thickBot="1">
      <c r="B2" s="4"/>
      <c r="D2" s="280" t="s">
        <v>279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248" ht="65.25" hidden="1" customHeight="1" thickBot="1">
      <c r="F3">
        <f>(F14-E14)/F14</f>
        <v>-7.2070939959718652E-2</v>
      </c>
      <c r="G3">
        <f t="shared" ref="G3:M3" si="0">(G14-F14)/G14</f>
        <v>-1.2184204197604258E-2</v>
      </c>
      <c r="H3">
        <f t="shared" si="0"/>
        <v>3.1436927412300399E-2</v>
      </c>
      <c r="I3">
        <f t="shared" si="0"/>
        <v>2.7561382824266831E-2</v>
      </c>
      <c r="J3">
        <f t="shared" si="0"/>
        <v>2.6664424123082602E-2</v>
      </c>
      <c r="K3">
        <f t="shared" si="0"/>
        <v>2.6153597656124027E-2</v>
      </c>
      <c r="L3">
        <f t="shared" si="0"/>
        <v>2.6295290154764089E-2</v>
      </c>
      <c r="M3">
        <f t="shared" si="0"/>
        <v>2.4951903359248528E-2</v>
      </c>
    </row>
    <row r="4" spans="1:248" ht="21" customHeight="1" thickBot="1">
      <c r="A4" s="155" t="s">
        <v>82</v>
      </c>
      <c r="B4" s="156" t="s">
        <v>81</v>
      </c>
      <c r="C4" s="156"/>
      <c r="D4" s="157"/>
      <c r="E4" s="158">
        <v>2012</v>
      </c>
      <c r="F4" s="158">
        <v>2013</v>
      </c>
      <c r="G4" s="158">
        <v>2014</v>
      </c>
      <c r="H4" s="158">
        <v>2015</v>
      </c>
      <c r="I4" s="158">
        <v>2016</v>
      </c>
      <c r="J4" s="158">
        <v>2017</v>
      </c>
      <c r="K4" s="158">
        <v>2018</v>
      </c>
      <c r="L4" s="158">
        <v>2019</v>
      </c>
      <c r="M4" s="158">
        <v>2020</v>
      </c>
      <c r="N4" s="158">
        <v>2021</v>
      </c>
      <c r="O4" s="158">
        <v>2022</v>
      </c>
      <c r="P4" s="158">
        <v>2023</v>
      </c>
      <c r="Q4" s="158">
        <v>2024</v>
      </c>
      <c r="R4" s="158">
        <v>2025</v>
      </c>
      <c r="S4" s="158">
        <v>2026</v>
      </c>
      <c r="T4" s="158">
        <v>2027</v>
      </c>
      <c r="U4" s="158">
        <v>2028</v>
      </c>
      <c r="V4" s="158">
        <v>2029</v>
      </c>
      <c r="W4" s="158">
        <v>2030</v>
      </c>
      <c r="X4" s="158">
        <v>2031</v>
      </c>
      <c r="Y4" s="158">
        <v>2032</v>
      </c>
      <c r="Z4" s="158">
        <v>2033</v>
      </c>
      <c r="AA4" s="158">
        <v>2034</v>
      </c>
      <c r="AB4" s="158">
        <v>2035</v>
      </c>
      <c r="AC4" s="158">
        <v>2036</v>
      </c>
      <c r="AD4" s="158">
        <v>2037</v>
      </c>
      <c r="AE4" s="158">
        <v>2038</v>
      </c>
      <c r="AF4" s="158">
        <v>2039</v>
      </c>
      <c r="AG4" s="158">
        <v>2040</v>
      </c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</row>
    <row r="5" spans="1:248" ht="21" customHeight="1">
      <c r="A5" s="160" t="s">
        <v>36</v>
      </c>
      <c r="B5" s="161" t="s">
        <v>221</v>
      </c>
      <c r="C5" s="161"/>
      <c r="D5" s="162"/>
      <c r="E5" s="225">
        <f>E6+E9</f>
        <v>16959423</v>
      </c>
      <c r="F5" s="225">
        <f t="shared" ref="F5:W5" si="1">F6+F9</f>
        <v>20223059</v>
      </c>
      <c r="G5" s="225">
        <f t="shared" si="1"/>
        <v>17108000</v>
      </c>
      <c r="H5" s="225">
        <f t="shared" si="1"/>
        <v>16265000</v>
      </c>
      <c r="I5" s="225">
        <f t="shared" si="1"/>
        <v>16743950</v>
      </c>
      <c r="J5" s="225">
        <f t="shared" si="1"/>
        <v>17237268.5</v>
      </c>
      <c r="K5" s="225">
        <f t="shared" si="1"/>
        <v>17745386.555</v>
      </c>
      <c r="L5" s="225">
        <f t="shared" si="1"/>
        <v>18268748.15165</v>
      </c>
      <c r="M5" s="225">
        <f t="shared" si="1"/>
        <v>18807810.596199501</v>
      </c>
      <c r="N5" s="225">
        <f t="shared" si="1"/>
        <v>19363045</v>
      </c>
      <c r="O5" s="225">
        <f t="shared" si="1"/>
        <v>19934936.261508051</v>
      </c>
      <c r="P5" s="225">
        <f t="shared" si="1"/>
        <v>20523984.349353295</v>
      </c>
      <c r="Q5" s="225">
        <f t="shared" si="1"/>
        <v>21130703.879833896</v>
      </c>
      <c r="R5" s="225">
        <f t="shared" si="1"/>
        <v>21755624.996228915</v>
      </c>
      <c r="S5" s="225">
        <f t="shared" si="1"/>
        <v>0</v>
      </c>
      <c r="T5" s="225">
        <f t="shared" si="1"/>
        <v>0</v>
      </c>
      <c r="U5" s="225">
        <f t="shared" si="1"/>
        <v>0</v>
      </c>
      <c r="V5" s="225">
        <f t="shared" si="1"/>
        <v>0</v>
      </c>
      <c r="W5" s="225">
        <f t="shared" si="1"/>
        <v>0</v>
      </c>
      <c r="X5" s="225"/>
      <c r="Y5" s="225"/>
      <c r="Z5" s="225"/>
      <c r="AA5" s="225"/>
      <c r="AB5" s="225"/>
      <c r="AC5" s="225"/>
      <c r="AD5" s="225"/>
      <c r="AE5" s="225"/>
      <c r="AF5" s="225"/>
      <c r="AG5" s="225"/>
    </row>
    <row r="6" spans="1:248" ht="21" customHeight="1">
      <c r="A6" s="163"/>
      <c r="B6" s="164"/>
      <c r="C6" s="283" t="s">
        <v>222</v>
      </c>
      <c r="D6" s="284"/>
      <c r="E6" s="226">
        <f>Arkusz1!D7</f>
        <v>14669302</v>
      </c>
      <c r="F6" s="226">
        <f>Arkusz1!E7</f>
        <v>15475059</v>
      </c>
      <c r="G6" s="226">
        <f>Arkusz1!F7</f>
        <v>15500000</v>
      </c>
      <c r="H6" s="226">
        <f>Arkusz1!G7</f>
        <v>15965000</v>
      </c>
      <c r="I6" s="226">
        <f>Arkusz1!H7</f>
        <v>16443950</v>
      </c>
      <c r="J6" s="226">
        <f>Arkusz1!I7</f>
        <v>16937268.5</v>
      </c>
      <c r="K6" s="226">
        <f>Arkusz1!J7</f>
        <v>17445386.555</v>
      </c>
      <c r="L6" s="226">
        <f>Arkusz1!K7</f>
        <v>17968748.15165</v>
      </c>
      <c r="M6" s="226">
        <f>Arkusz1!L7</f>
        <v>18507810.596199501</v>
      </c>
      <c r="N6" s="226">
        <f>19063045</f>
        <v>19063045</v>
      </c>
      <c r="O6" s="226">
        <f>Arkusz1!N7</f>
        <v>19634936.261508051</v>
      </c>
      <c r="P6" s="226">
        <f>Arkusz1!O7</f>
        <v>20223984.349353295</v>
      </c>
      <c r="Q6" s="226">
        <f>Arkusz1!P7</f>
        <v>20830703.879833896</v>
      </c>
      <c r="R6" s="226">
        <f>Arkusz1!Q7</f>
        <v>21455624.996228915</v>
      </c>
      <c r="S6" s="226">
        <f>Arkusz1!R7</f>
        <v>0</v>
      </c>
      <c r="T6" s="226">
        <f>Arkusz1!S7</f>
        <v>0</v>
      </c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</row>
    <row r="7" spans="1:248" ht="11.25" customHeight="1">
      <c r="A7" s="163"/>
      <c r="B7" s="164"/>
      <c r="C7" s="259" t="s">
        <v>223</v>
      </c>
      <c r="D7" s="260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</row>
    <row r="8" spans="1:248" ht="21" customHeight="1">
      <c r="A8" s="163"/>
      <c r="B8" s="164"/>
      <c r="C8" s="165"/>
      <c r="D8" s="166" t="s">
        <v>224</v>
      </c>
      <c r="E8" s="226">
        <v>71577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6">
        <v>0</v>
      </c>
      <c r="U8" s="226">
        <v>0</v>
      </c>
      <c r="V8" s="226">
        <v>0</v>
      </c>
      <c r="W8" s="226">
        <v>0</v>
      </c>
      <c r="X8" s="226"/>
      <c r="Y8" s="226"/>
      <c r="Z8" s="226"/>
      <c r="AA8" s="226"/>
      <c r="AB8" s="226"/>
      <c r="AC8" s="226"/>
      <c r="AD8" s="226"/>
      <c r="AE8" s="226"/>
      <c r="AF8" s="226"/>
      <c r="AG8" s="226"/>
    </row>
    <row r="9" spans="1:248" ht="21" customHeight="1">
      <c r="A9" s="163"/>
      <c r="B9" s="164"/>
      <c r="C9" s="259" t="s">
        <v>225</v>
      </c>
      <c r="D9" s="260"/>
      <c r="E9" s="226">
        <f>Arkusz1!D8</f>
        <v>2290121</v>
      </c>
      <c r="F9" s="226">
        <f>Arkusz1!E8</f>
        <v>4748000</v>
      </c>
      <c r="G9" s="226">
        <f>Arkusz1!F8</f>
        <v>1608000</v>
      </c>
      <c r="H9" s="226">
        <f>Arkusz1!G8</f>
        <v>300000</v>
      </c>
      <c r="I9" s="226">
        <f>Arkusz1!H8</f>
        <v>300000</v>
      </c>
      <c r="J9" s="226">
        <f>Arkusz1!I8</f>
        <v>300000</v>
      </c>
      <c r="K9" s="226">
        <f>Arkusz1!J8</f>
        <v>300000</v>
      </c>
      <c r="L9" s="226">
        <f>Arkusz1!K8</f>
        <v>300000</v>
      </c>
      <c r="M9" s="226">
        <f>Arkusz1!L8</f>
        <v>300000</v>
      </c>
      <c r="N9" s="226">
        <f>Arkusz1!M8</f>
        <v>300000</v>
      </c>
      <c r="O9" s="226">
        <f>Arkusz1!N8</f>
        <v>300000</v>
      </c>
      <c r="P9" s="226">
        <f>Arkusz1!O8</f>
        <v>300000</v>
      </c>
      <c r="Q9" s="226">
        <f>Arkusz1!P8</f>
        <v>300000</v>
      </c>
      <c r="R9" s="226">
        <f>Arkusz1!Q8</f>
        <v>300000</v>
      </c>
      <c r="S9" s="226">
        <f>Arkusz1!R8</f>
        <v>0</v>
      </c>
      <c r="T9" s="226">
        <f>Arkusz1!S8</f>
        <v>0</v>
      </c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</row>
    <row r="10" spans="1:248" ht="12.75" customHeight="1">
      <c r="A10" s="167"/>
      <c r="B10" s="168"/>
      <c r="C10" s="259" t="s">
        <v>223</v>
      </c>
      <c r="D10" s="260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</row>
    <row r="11" spans="1:248" ht="21" customHeight="1">
      <c r="A11" s="167"/>
      <c r="B11" s="168"/>
      <c r="C11" s="169"/>
      <c r="D11" s="170" t="s">
        <v>226</v>
      </c>
      <c r="E11" s="227">
        <f>Arkusz1!D9</f>
        <v>260000</v>
      </c>
      <c r="F11" s="227">
        <f>Arkusz1!E9</f>
        <v>422000</v>
      </c>
      <c r="G11" s="227">
        <f>Arkusz1!F9</f>
        <v>300000</v>
      </c>
      <c r="H11" s="227">
        <f>Arkusz1!G9</f>
        <v>300000</v>
      </c>
      <c r="I11" s="227">
        <f>Arkusz1!H9</f>
        <v>300000</v>
      </c>
      <c r="J11" s="227">
        <f>Arkusz1!I9</f>
        <v>300000</v>
      </c>
      <c r="K11" s="227">
        <f>Arkusz1!J9</f>
        <v>300000</v>
      </c>
      <c r="L11" s="227">
        <f>Arkusz1!K9</f>
        <v>300000</v>
      </c>
      <c r="M11" s="227">
        <f>Arkusz1!L9</f>
        <v>300000</v>
      </c>
      <c r="N11" s="227">
        <f>Arkusz1!M9</f>
        <v>300000</v>
      </c>
      <c r="O11" s="227">
        <f>Arkusz1!N9</f>
        <v>300000</v>
      </c>
      <c r="P11" s="227">
        <f>Arkusz1!O9</f>
        <v>300000</v>
      </c>
      <c r="Q11" s="227">
        <f>Arkusz1!P9</f>
        <v>300000</v>
      </c>
      <c r="R11" s="227">
        <f>Arkusz1!Q9</f>
        <v>300000</v>
      </c>
      <c r="S11" s="227">
        <f>Arkusz1!R9</f>
        <v>0</v>
      </c>
      <c r="T11" s="227">
        <f>Arkusz1!S9</f>
        <v>0</v>
      </c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</row>
    <row r="12" spans="1:248" ht="21" customHeight="1" thickBot="1">
      <c r="A12" s="171"/>
      <c r="B12" s="172"/>
      <c r="C12" s="172"/>
      <c r="D12" s="166" t="s">
        <v>224</v>
      </c>
      <c r="E12" s="228">
        <v>1394821</v>
      </c>
      <c r="F12" s="228">
        <v>4326000</v>
      </c>
      <c r="G12" s="228">
        <v>1308000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</row>
    <row r="13" spans="1:248" ht="21" customHeight="1">
      <c r="A13" s="160" t="s">
        <v>37</v>
      </c>
      <c r="B13" s="161" t="s">
        <v>227</v>
      </c>
      <c r="C13" s="161"/>
      <c r="D13" s="162"/>
      <c r="E13" s="225">
        <f>E14+E23</f>
        <v>18938201</v>
      </c>
      <c r="F13" s="225">
        <f t="shared" ref="F13:AB13" si="2">F14+F23</f>
        <v>15797734</v>
      </c>
      <c r="G13" s="225">
        <f t="shared" si="2"/>
        <v>17108000</v>
      </c>
      <c r="H13" s="225">
        <f t="shared" si="2"/>
        <v>16065000.442399999</v>
      </c>
      <c r="I13" s="225">
        <f t="shared" si="2"/>
        <v>16243950</v>
      </c>
      <c r="J13" s="225">
        <f t="shared" si="2"/>
        <v>16537268.5</v>
      </c>
      <c r="K13" s="225">
        <f t="shared" si="2"/>
        <v>17045386.991060473</v>
      </c>
      <c r="L13" s="225">
        <f t="shared" si="2"/>
        <v>17068748.15165</v>
      </c>
      <c r="M13" s="225">
        <f t="shared" si="2"/>
        <v>17407810.596199501</v>
      </c>
      <c r="N13" s="225">
        <f t="shared" si="2"/>
        <v>18163045.488190588</v>
      </c>
      <c r="O13" s="225">
        <f t="shared" si="2"/>
        <v>18704936.261508051</v>
      </c>
      <c r="P13" s="225">
        <f t="shared" si="2"/>
        <v>19423984.349353295</v>
      </c>
      <c r="Q13" s="225">
        <f t="shared" si="2"/>
        <v>20126721.63605509</v>
      </c>
      <c r="R13" s="225">
        <f t="shared" si="2"/>
        <v>21755624.996228915</v>
      </c>
      <c r="S13" s="225">
        <f t="shared" si="2"/>
        <v>0</v>
      </c>
      <c r="T13" s="225">
        <f t="shared" si="2"/>
        <v>0</v>
      </c>
      <c r="U13" s="225">
        <f t="shared" si="2"/>
        <v>0</v>
      </c>
      <c r="V13" s="225">
        <f t="shared" si="2"/>
        <v>0</v>
      </c>
      <c r="W13" s="225">
        <f t="shared" si="2"/>
        <v>0</v>
      </c>
      <c r="X13" s="225">
        <f t="shared" si="2"/>
        <v>0</v>
      </c>
      <c r="Y13" s="225">
        <f t="shared" si="2"/>
        <v>0</v>
      </c>
      <c r="Z13" s="225">
        <f t="shared" si="2"/>
        <v>0</v>
      </c>
      <c r="AA13" s="225">
        <f t="shared" si="2"/>
        <v>0</v>
      </c>
      <c r="AB13" s="225">
        <f t="shared" si="2"/>
        <v>0</v>
      </c>
      <c r="AC13" s="225"/>
      <c r="AD13" s="225"/>
      <c r="AE13" s="225"/>
      <c r="AF13" s="225"/>
      <c r="AG13" s="225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</row>
    <row r="14" spans="1:248" ht="21" customHeight="1">
      <c r="A14" s="174"/>
      <c r="B14" s="175"/>
      <c r="C14" s="176" t="s">
        <v>228</v>
      </c>
      <c r="D14" s="177"/>
      <c r="E14" s="229">
        <f>E15+E20</f>
        <v>15124569</v>
      </c>
      <c r="F14" s="229">
        <f t="shared" ref="F14:AB14" si="3">F15+F20</f>
        <v>14107806.15</v>
      </c>
      <c r="G14" s="229">
        <f t="shared" si="3"/>
        <v>13937982.92</v>
      </c>
      <c r="H14" s="229">
        <f t="shared" si="3"/>
        <v>14390372</v>
      </c>
      <c r="I14" s="229">
        <f t="shared" si="3"/>
        <v>14798231.729828002</v>
      </c>
      <c r="J14" s="229">
        <f t="shared" si="3"/>
        <v>15203627.707222842</v>
      </c>
      <c r="K14" s="229">
        <f t="shared" si="3"/>
        <v>15611936</v>
      </c>
      <c r="L14" s="229">
        <f t="shared" si="3"/>
        <v>16033542.656357713</v>
      </c>
      <c r="M14" s="229">
        <f t="shared" si="3"/>
        <v>16443847.961548446</v>
      </c>
      <c r="N14" s="229">
        <f t="shared" si="3"/>
        <v>16858263</v>
      </c>
      <c r="O14" s="229">
        <f t="shared" si="3"/>
        <v>17297209.324171744</v>
      </c>
      <c r="P14" s="229">
        <f t="shared" si="3"/>
        <v>17749624.629396897</v>
      </c>
      <c r="Q14" s="229">
        <f t="shared" si="3"/>
        <v>18223958</v>
      </c>
      <c r="R14" s="229">
        <f t="shared" si="3"/>
        <v>18718970.991092172</v>
      </c>
      <c r="S14" s="229">
        <f t="shared" si="3"/>
        <v>0</v>
      </c>
      <c r="T14" s="229">
        <f t="shared" si="3"/>
        <v>0</v>
      </c>
      <c r="U14" s="229">
        <f t="shared" si="3"/>
        <v>0</v>
      </c>
      <c r="V14" s="229">
        <f t="shared" si="3"/>
        <v>0</v>
      </c>
      <c r="W14" s="229">
        <f t="shared" si="3"/>
        <v>0</v>
      </c>
      <c r="X14" s="229">
        <f t="shared" si="3"/>
        <v>0</v>
      </c>
      <c r="Y14" s="229">
        <f t="shared" si="3"/>
        <v>0</v>
      </c>
      <c r="Z14" s="229">
        <f t="shared" si="3"/>
        <v>0</v>
      </c>
      <c r="AA14" s="229">
        <f t="shared" si="3"/>
        <v>0</v>
      </c>
      <c r="AB14" s="229">
        <f t="shared" si="3"/>
        <v>0</v>
      </c>
      <c r="AC14" s="229"/>
      <c r="AD14" s="229"/>
      <c r="AE14" s="229"/>
      <c r="AF14" s="229"/>
      <c r="AG14" s="229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</row>
    <row r="15" spans="1:248" ht="21" customHeight="1">
      <c r="A15" s="174"/>
      <c r="B15" s="175"/>
      <c r="C15" s="178"/>
      <c r="D15" s="177" t="s">
        <v>229</v>
      </c>
      <c r="E15" s="229">
        <f>Arkusz1!D10</f>
        <v>14445449</v>
      </c>
      <c r="F15" s="229">
        <f>Arkusz1!E10</f>
        <v>13389092</v>
      </c>
      <c r="G15" s="229">
        <f>Arkusz1!F10</f>
        <v>13522982.92</v>
      </c>
      <c r="H15" s="258">
        <f>13928673</f>
        <v>13928673</v>
      </c>
      <c r="I15" s="258">
        <f>Arkusz1!H10</f>
        <v>14346532.579828002</v>
      </c>
      <c r="J15" s="258">
        <f>Arkusz1!I10</f>
        <v>14776928.557222841</v>
      </c>
      <c r="K15" s="258">
        <f>15220237</f>
        <v>15220237</v>
      </c>
      <c r="L15" s="258">
        <f>Arkusz1!K10</f>
        <v>15676843.506357713</v>
      </c>
      <c r="M15" s="258">
        <f>Arkusz1!L10</f>
        <v>16147148.811548445</v>
      </c>
      <c r="N15" s="258">
        <f>16631564</f>
        <v>16631564</v>
      </c>
      <c r="O15" s="258">
        <f>Arkusz1!N10</f>
        <v>17130510.174171746</v>
      </c>
      <c r="P15" s="258">
        <f>Arkusz1!O10</f>
        <v>17644425.479396898</v>
      </c>
      <c r="Q15" s="258">
        <f>18173759</f>
        <v>18173759</v>
      </c>
      <c r="R15" s="258">
        <f>Arkusz1!Q10</f>
        <v>18718970.991092172</v>
      </c>
      <c r="S15" s="229">
        <f>Arkusz1!R10</f>
        <v>0</v>
      </c>
      <c r="T15" s="229">
        <f>Arkusz1!S10</f>
        <v>0</v>
      </c>
      <c r="U15" s="229">
        <f>Arkusz1!T10</f>
        <v>0</v>
      </c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</row>
    <row r="16" spans="1:248" ht="11.25" customHeight="1">
      <c r="A16" s="174"/>
      <c r="B16" s="175"/>
      <c r="C16" s="178"/>
      <c r="D16" s="177" t="s">
        <v>230</v>
      </c>
      <c r="E16" s="229"/>
      <c r="F16" s="229"/>
      <c r="G16" s="229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</row>
    <row r="17" spans="1:33" ht="21" customHeight="1">
      <c r="A17" s="174"/>
      <c r="B17" s="175"/>
      <c r="C17" s="178"/>
      <c r="D17" s="179" t="s">
        <v>231</v>
      </c>
      <c r="E17" s="229">
        <f>Arkusz1!D13</f>
        <v>0</v>
      </c>
      <c r="F17" s="229">
        <f>Arkusz1!E13</f>
        <v>0</v>
      </c>
      <c r="G17" s="229">
        <f>Arkusz1!F13</f>
        <v>0</v>
      </c>
      <c r="H17" s="258">
        <f>Arkusz1!G13</f>
        <v>0</v>
      </c>
      <c r="I17" s="258">
        <f>Arkusz1!H13</f>
        <v>0</v>
      </c>
      <c r="J17" s="258">
        <f>Arkusz1!I13</f>
        <v>0</v>
      </c>
      <c r="K17" s="258">
        <f>Arkusz1!J13</f>
        <v>0</v>
      </c>
      <c r="L17" s="258">
        <f>Arkusz1!K13</f>
        <v>0</v>
      </c>
      <c r="M17" s="258">
        <f>Arkusz1!L13</f>
        <v>0</v>
      </c>
      <c r="N17" s="258">
        <f>Arkusz1!M13</f>
        <v>0</v>
      </c>
      <c r="O17" s="258">
        <f>Arkusz1!N13</f>
        <v>0</v>
      </c>
      <c r="P17" s="258">
        <f>Arkusz1!O13</f>
        <v>0</v>
      </c>
      <c r="Q17" s="258">
        <f>Arkusz1!P13</f>
        <v>0</v>
      </c>
      <c r="R17" s="258">
        <f>Arkusz1!Q13</f>
        <v>0</v>
      </c>
      <c r="S17" s="229">
        <f>Arkusz1!R13</f>
        <v>0</v>
      </c>
      <c r="T17" s="229">
        <f>Arkusz1!S13</f>
        <v>0</v>
      </c>
      <c r="U17" s="229">
        <f>Arkusz1!T13</f>
        <v>0</v>
      </c>
      <c r="V17" s="229">
        <f>Arkusz1!U13</f>
        <v>0</v>
      </c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</row>
    <row r="18" spans="1:33" ht="21" customHeight="1">
      <c r="A18" s="174"/>
      <c r="B18" s="175"/>
      <c r="C18" s="178"/>
      <c r="D18" s="180" t="s">
        <v>232</v>
      </c>
      <c r="E18" s="229">
        <f>Arkusz1!D14</f>
        <v>0</v>
      </c>
      <c r="F18" s="229">
        <f>Arkusz1!E14</f>
        <v>0</v>
      </c>
      <c r="G18" s="229">
        <f>Arkusz1!F14</f>
        <v>0</v>
      </c>
      <c r="H18" s="258">
        <f>Arkusz1!G14</f>
        <v>0</v>
      </c>
      <c r="I18" s="258">
        <f>Arkusz1!H14</f>
        <v>0</v>
      </c>
      <c r="J18" s="258">
        <f>Arkusz1!I14</f>
        <v>0</v>
      </c>
      <c r="K18" s="258">
        <f>Arkusz1!J14</f>
        <v>0</v>
      </c>
      <c r="L18" s="258">
        <f>Arkusz1!K14</f>
        <v>0</v>
      </c>
      <c r="M18" s="258">
        <f>Arkusz1!L14</f>
        <v>0</v>
      </c>
      <c r="N18" s="258">
        <f>Arkusz1!M14</f>
        <v>0</v>
      </c>
      <c r="O18" s="258">
        <f>Arkusz1!N14</f>
        <v>0</v>
      </c>
      <c r="P18" s="258">
        <f>Arkusz1!O14</f>
        <v>0</v>
      </c>
      <c r="Q18" s="258">
        <f>Arkusz1!P14</f>
        <v>0</v>
      </c>
      <c r="R18" s="258">
        <f>Arkusz1!Q14</f>
        <v>0</v>
      </c>
      <c r="S18" s="229">
        <f>Arkusz1!R14</f>
        <v>0</v>
      </c>
      <c r="T18" s="229">
        <f>Arkusz1!S14</f>
        <v>0</v>
      </c>
      <c r="U18" s="229">
        <f>Arkusz1!T14</f>
        <v>0</v>
      </c>
      <c r="V18" s="229">
        <f>Arkusz1!U14</f>
        <v>0</v>
      </c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</row>
    <row r="19" spans="1:33" ht="21" customHeight="1">
      <c r="A19" s="174"/>
      <c r="B19" s="175"/>
      <c r="C19" s="178"/>
      <c r="D19" s="179" t="s">
        <v>233</v>
      </c>
      <c r="E19" s="229">
        <v>91209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29">
        <v>0</v>
      </c>
      <c r="O19" s="229">
        <v>0</v>
      </c>
      <c r="P19" s="229">
        <v>0</v>
      </c>
      <c r="Q19" s="229">
        <v>0</v>
      </c>
      <c r="R19" s="229">
        <v>0</v>
      </c>
      <c r="S19" s="229">
        <v>0</v>
      </c>
      <c r="T19" s="229">
        <v>0</v>
      </c>
      <c r="U19" s="229">
        <v>0</v>
      </c>
      <c r="V19" s="229">
        <v>0</v>
      </c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</row>
    <row r="20" spans="1:33" ht="21" customHeight="1">
      <c r="A20" s="174"/>
      <c r="B20" s="175"/>
      <c r="C20" s="164"/>
      <c r="D20" s="177" t="s">
        <v>234</v>
      </c>
      <c r="E20" s="226">
        <f>Arkusz1!D30</f>
        <v>679120</v>
      </c>
      <c r="F20" s="226">
        <f>Arkusz1!E30</f>
        <v>718714.15</v>
      </c>
      <c r="G20" s="226">
        <f>Arkusz1!F30</f>
        <v>415000</v>
      </c>
      <c r="H20" s="226">
        <v>461699</v>
      </c>
      <c r="I20" s="226">
        <f>Arkusz1!H30</f>
        <v>451699.15</v>
      </c>
      <c r="J20" s="226">
        <f>Arkusz1!I30</f>
        <v>426699.15</v>
      </c>
      <c r="K20" s="226">
        <f>391699</f>
        <v>391699</v>
      </c>
      <c r="L20" s="226">
        <f>Arkusz1!K30</f>
        <v>356699.15</v>
      </c>
      <c r="M20" s="226">
        <f>Arkusz1!L30</f>
        <v>296699.15000000002</v>
      </c>
      <c r="N20" s="226">
        <f>226699</f>
        <v>226699</v>
      </c>
      <c r="O20" s="226">
        <f>Arkusz1!N30</f>
        <v>166699.15000000002</v>
      </c>
      <c r="P20" s="226">
        <f>Arkusz1!O30</f>
        <v>105199.15000000001</v>
      </c>
      <c r="Q20" s="226">
        <f>Arkusz1!P30</f>
        <v>50199</v>
      </c>
      <c r="R20" s="226">
        <f>Arkusz1!Q30</f>
        <v>0</v>
      </c>
      <c r="S20" s="226">
        <f>Arkusz1!R30</f>
        <v>0</v>
      </c>
      <c r="T20" s="226">
        <f>Arkusz1!S30</f>
        <v>0</v>
      </c>
      <c r="U20" s="226">
        <f>Arkusz1!T30</f>
        <v>0</v>
      </c>
      <c r="V20" s="226">
        <f>Arkusz1!U30</f>
        <v>0</v>
      </c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</row>
    <row r="21" spans="1:33" ht="11.25" customHeight="1">
      <c r="A21" s="181"/>
      <c r="B21" s="182"/>
      <c r="C21" s="168"/>
      <c r="D21" s="183" t="s">
        <v>235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</row>
    <row r="22" spans="1:33" ht="21" customHeight="1">
      <c r="A22" s="181"/>
      <c r="B22" s="182"/>
      <c r="C22" s="168"/>
      <c r="D22" s="184" t="s">
        <v>236</v>
      </c>
      <c r="E22" s="227">
        <f>SUM(Arkusz1!D31:D36)</f>
        <v>669120</v>
      </c>
      <c r="F22" s="227">
        <f>SUM(Arkusz1!E31:E36)</f>
        <v>718714.15</v>
      </c>
      <c r="G22" s="227">
        <f>SUM(Arkusz1!F31:F36)</f>
        <v>415000</v>
      </c>
      <c r="H22" s="227">
        <f>SUM(Arkusz1!G31:G36)</f>
        <v>461699.15</v>
      </c>
      <c r="I22" s="227">
        <f>SUM(Arkusz1!H31:H36)</f>
        <v>451699.15</v>
      </c>
      <c r="J22" s="227">
        <f>SUM(Arkusz1!I31:I36)</f>
        <v>426699.15</v>
      </c>
      <c r="K22" s="227">
        <f>SUM(Arkusz1!J31:J36)</f>
        <v>391699.15</v>
      </c>
      <c r="L22" s="227">
        <f>SUM(Arkusz1!K31:K36)</f>
        <v>356699.15</v>
      </c>
      <c r="M22" s="227">
        <f>SUM(Arkusz1!L31:L36)</f>
        <v>296699.15000000002</v>
      </c>
      <c r="N22" s="227">
        <f>SUM(Arkusz1!M31:M36)</f>
        <v>226699.15000000002</v>
      </c>
      <c r="O22" s="227">
        <f>SUM(Arkusz1!N31:N36)</f>
        <v>166699.15000000002</v>
      </c>
      <c r="P22" s="227">
        <f>SUM(Arkusz1!O31:O36)</f>
        <v>105199.15000000001</v>
      </c>
      <c r="Q22" s="227">
        <f>SUM(Arkusz1!P31:P36)</f>
        <v>50199</v>
      </c>
      <c r="R22" s="227">
        <f>SUM(Arkusz1!Q31:Q36)</f>
        <v>0</v>
      </c>
      <c r="S22" s="227">
        <f>SUM(Arkusz1!R31:R36)</f>
        <v>0</v>
      </c>
      <c r="T22" s="227">
        <f>SUM(Arkusz1!S31:S36)</f>
        <v>0</v>
      </c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</row>
    <row r="23" spans="1:33" ht="21" customHeight="1">
      <c r="A23" s="174"/>
      <c r="B23" s="175"/>
      <c r="C23" s="176" t="s">
        <v>237</v>
      </c>
      <c r="D23" s="185"/>
      <c r="E23" s="226">
        <f>Arkusz1!D40</f>
        <v>3813632</v>
      </c>
      <c r="F23" s="226">
        <f>Arkusz1!E40</f>
        <v>1689927.8499999996</v>
      </c>
      <c r="G23" s="226">
        <f>Arkusz1!F40</f>
        <v>3170017.08</v>
      </c>
      <c r="H23" s="226">
        <f>Arkusz1!G40</f>
        <v>1674628.4423999996</v>
      </c>
      <c r="I23" s="226">
        <f>Arkusz1!H40</f>
        <v>1445718.2701719985</v>
      </c>
      <c r="J23" s="226">
        <f>Arkusz1!I40</f>
        <v>1333640.7927771588</v>
      </c>
      <c r="K23" s="226">
        <f>Arkusz1!J40</f>
        <v>1433450.9910604735</v>
      </c>
      <c r="L23" s="226">
        <f>Arkusz1!K40</f>
        <v>1035205.4952922878</v>
      </c>
      <c r="M23" s="226">
        <f>Arkusz1!L40</f>
        <v>963962.63465105603</v>
      </c>
      <c r="N23" s="226">
        <f>Arkusz1!M40</f>
        <v>1304782.4881905862</v>
      </c>
      <c r="O23" s="226">
        <f>Arkusz1!N40</f>
        <v>1407726.9373363056</v>
      </c>
      <c r="P23" s="226">
        <f>Arkusz1!O40</f>
        <v>1674359.7199563966</v>
      </c>
      <c r="Q23" s="226">
        <f>Arkusz1!P40</f>
        <v>1902763.6360550895</v>
      </c>
      <c r="R23" s="226">
        <f>Arkusz1!Q40</f>
        <v>3036654.0051367432</v>
      </c>
      <c r="S23" s="226">
        <f>Arkusz1!R40</f>
        <v>0</v>
      </c>
      <c r="T23" s="226">
        <f>Arkusz1!S40</f>
        <v>0</v>
      </c>
      <c r="U23" s="226">
        <f>Arkusz1!T40</f>
        <v>0</v>
      </c>
      <c r="V23" s="226">
        <f>Arkusz1!U40</f>
        <v>0</v>
      </c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</row>
    <row r="24" spans="1:33" ht="11.25" customHeight="1">
      <c r="A24" s="174"/>
      <c r="B24" s="175"/>
      <c r="C24" s="176" t="s">
        <v>223</v>
      </c>
      <c r="D24" s="18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</row>
    <row r="25" spans="1:33" ht="21" customHeight="1" thickBot="1">
      <c r="A25" s="174"/>
      <c r="B25" s="175"/>
      <c r="C25" s="176"/>
      <c r="D25" s="185" t="s">
        <v>233</v>
      </c>
      <c r="E25" s="226">
        <v>1976491</v>
      </c>
      <c r="F25" s="226">
        <v>1428000</v>
      </c>
      <c r="G25" s="226">
        <v>1744242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>
        <v>0</v>
      </c>
      <c r="P25" s="226">
        <v>0</v>
      </c>
      <c r="Q25" s="226">
        <v>0</v>
      </c>
      <c r="R25" s="226">
        <v>0</v>
      </c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</row>
    <row r="26" spans="1:33" ht="21" customHeight="1" thickBot="1">
      <c r="A26" s="186" t="s">
        <v>38</v>
      </c>
      <c r="B26" s="187" t="s">
        <v>238</v>
      </c>
      <c r="C26" s="187"/>
      <c r="D26" s="188"/>
      <c r="E26" s="230">
        <f>E5-E13</f>
        <v>-1978778</v>
      </c>
      <c r="F26" s="230">
        <f t="shared" ref="F26:V26" si="4">F5-F13</f>
        <v>4425325</v>
      </c>
      <c r="G26" s="230">
        <f t="shared" si="4"/>
        <v>0</v>
      </c>
      <c r="H26" s="230">
        <f t="shared" si="4"/>
        <v>199999.55760000087</v>
      </c>
      <c r="I26" s="230">
        <f t="shared" si="4"/>
        <v>500000</v>
      </c>
      <c r="J26" s="230">
        <f t="shared" si="4"/>
        <v>700000</v>
      </c>
      <c r="K26" s="230">
        <f t="shared" si="4"/>
        <v>699999.56393952668</v>
      </c>
      <c r="L26" s="230">
        <f t="shared" si="4"/>
        <v>1200000</v>
      </c>
      <c r="M26" s="230">
        <f t="shared" si="4"/>
        <v>1400000</v>
      </c>
      <c r="N26" s="230">
        <f t="shared" si="4"/>
        <v>1199999.5118094124</v>
      </c>
      <c r="O26" s="230">
        <f t="shared" si="4"/>
        <v>1230000</v>
      </c>
      <c r="P26" s="230">
        <f t="shared" si="4"/>
        <v>1100000</v>
      </c>
      <c r="Q26" s="230">
        <f t="shared" si="4"/>
        <v>1003982.2437788062</v>
      </c>
      <c r="R26" s="230">
        <f t="shared" si="4"/>
        <v>0</v>
      </c>
      <c r="S26" s="230">
        <f t="shared" si="4"/>
        <v>0</v>
      </c>
      <c r="T26" s="230">
        <f t="shared" si="4"/>
        <v>0</v>
      </c>
      <c r="U26" s="230">
        <f t="shared" si="4"/>
        <v>0</v>
      </c>
      <c r="V26" s="230">
        <f t="shared" si="4"/>
        <v>0</v>
      </c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</row>
    <row r="27" spans="1:33" ht="21" customHeight="1" thickBot="1">
      <c r="A27" s="189" t="s">
        <v>39</v>
      </c>
      <c r="B27" s="190" t="s">
        <v>239</v>
      </c>
      <c r="C27" s="191"/>
      <c r="D27" s="192"/>
      <c r="E27" s="231">
        <f>E6-E14</f>
        <v>-455267</v>
      </c>
      <c r="F27" s="231">
        <f t="shared" ref="F27:V27" si="5">F6-F14</f>
        <v>1367252.8499999996</v>
      </c>
      <c r="G27" s="231">
        <f t="shared" si="5"/>
        <v>1562017.08</v>
      </c>
      <c r="H27" s="231">
        <f t="shared" si="5"/>
        <v>1574628</v>
      </c>
      <c r="I27" s="231">
        <f t="shared" si="5"/>
        <v>1645718.2701719981</v>
      </c>
      <c r="J27" s="231">
        <f t="shared" si="5"/>
        <v>1733640.7927771583</v>
      </c>
      <c r="K27" s="231">
        <f t="shared" si="5"/>
        <v>1833450.5549999997</v>
      </c>
      <c r="L27" s="231">
        <f t="shared" si="5"/>
        <v>1935205.4952922873</v>
      </c>
      <c r="M27" s="231">
        <f t="shared" si="5"/>
        <v>2063962.6346510556</v>
      </c>
      <c r="N27" s="231">
        <f t="shared" si="5"/>
        <v>2204782</v>
      </c>
      <c r="O27" s="231">
        <f t="shared" si="5"/>
        <v>2337726.937336307</v>
      </c>
      <c r="P27" s="231">
        <f t="shared" si="5"/>
        <v>2474359.719956398</v>
      </c>
      <c r="Q27" s="231">
        <f t="shared" si="5"/>
        <v>2606745.8798338957</v>
      </c>
      <c r="R27" s="231">
        <f t="shared" si="5"/>
        <v>2736654.0051367432</v>
      </c>
      <c r="S27" s="231">
        <f t="shared" si="5"/>
        <v>0</v>
      </c>
      <c r="T27" s="231">
        <f t="shared" si="5"/>
        <v>0</v>
      </c>
      <c r="U27" s="231">
        <f t="shared" si="5"/>
        <v>0</v>
      </c>
      <c r="V27" s="231">
        <f t="shared" si="5"/>
        <v>0</v>
      </c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2"/>
    </row>
    <row r="28" spans="1:33" ht="21" customHeight="1">
      <c r="A28" s="160" t="s">
        <v>34</v>
      </c>
      <c r="B28" s="161" t="s">
        <v>11</v>
      </c>
      <c r="C28" s="161"/>
      <c r="D28" s="162"/>
      <c r="E28" s="225">
        <f>E29+E31+E33</f>
        <v>2731550</v>
      </c>
      <c r="F28" s="225">
        <f t="shared" ref="F28:V28" si="6">F29+F31+F33</f>
        <v>0</v>
      </c>
      <c r="G28" s="225">
        <f t="shared" si="6"/>
        <v>0</v>
      </c>
      <c r="H28" s="225">
        <f t="shared" si="6"/>
        <v>0</v>
      </c>
      <c r="I28" s="225">
        <f t="shared" si="6"/>
        <v>0</v>
      </c>
      <c r="J28" s="225">
        <f t="shared" si="6"/>
        <v>0</v>
      </c>
      <c r="K28" s="225">
        <f t="shared" si="6"/>
        <v>0</v>
      </c>
      <c r="L28" s="225">
        <f t="shared" si="6"/>
        <v>0</v>
      </c>
      <c r="M28" s="225">
        <f t="shared" si="6"/>
        <v>0</v>
      </c>
      <c r="N28" s="225">
        <f t="shared" si="6"/>
        <v>0</v>
      </c>
      <c r="O28" s="225">
        <f t="shared" si="6"/>
        <v>0</v>
      </c>
      <c r="P28" s="225">
        <f t="shared" si="6"/>
        <v>0</v>
      </c>
      <c r="Q28" s="225">
        <f t="shared" si="6"/>
        <v>0</v>
      </c>
      <c r="R28" s="225">
        <f t="shared" si="6"/>
        <v>0</v>
      </c>
      <c r="S28" s="225">
        <f t="shared" si="6"/>
        <v>0</v>
      </c>
      <c r="T28" s="225">
        <f t="shared" si="6"/>
        <v>0</v>
      </c>
      <c r="U28" s="225">
        <f t="shared" si="6"/>
        <v>0</v>
      </c>
      <c r="V28" s="225">
        <f t="shared" si="6"/>
        <v>0</v>
      </c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33"/>
    </row>
    <row r="29" spans="1:33" ht="21" customHeight="1">
      <c r="A29" s="163"/>
      <c r="B29" s="193"/>
      <c r="C29" s="259" t="s">
        <v>240</v>
      </c>
      <c r="D29" s="260"/>
      <c r="E29" s="229">
        <f>Arkusz1!D17</f>
        <v>455267</v>
      </c>
      <c r="F29" s="229">
        <f>Arkusz1!E17</f>
        <v>0</v>
      </c>
      <c r="G29" s="229">
        <f>Arkusz1!F17</f>
        <v>0</v>
      </c>
      <c r="H29" s="229">
        <f>Arkusz1!G17</f>
        <v>0</v>
      </c>
      <c r="I29" s="229">
        <f>Arkusz1!H17</f>
        <v>0</v>
      </c>
      <c r="J29" s="229">
        <f>Arkusz1!I17</f>
        <v>0</v>
      </c>
      <c r="K29" s="229">
        <f>Arkusz1!J17</f>
        <v>0</v>
      </c>
      <c r="L29" s="229">
        <f>Arkusz1!K17</f>
        <v>0</v>
      </c>
      <c r="M29" s="229">
        <f>Arkusz1!L17</f>
        <v>0</v>
      </c>
      <c r="N29" s="229">
        <f>Arkusz1!M17</f>
        <v>0</v>
      </c>
      <c r="O29" s="229">
        <f>Arkusz1!N17</f>
        <v>0</v>
      </c>
      <c r="P29" s="229">
        <f>Arkusz1!O17</f>
        <v>0</v>
      </c>
      <c r="Q29" s="229">
        <f>Arkusz1!P17</f>
        <v>0</v>
      </c>
      <c r="R29" s="229">
        <f>Arkusz1!Q17</f>
        <v>0</v>
      </c>
      <c r="S29" s="229">
        <f>Arkusz1!R17</f>
        <v>0</v>
      </c>
      <c r="T29" s="229">
        <f>Arkusz1!S17</f>
        <v>0</v>
      </c>
      <c r="U29" s="229">
        <f>Arkusz1!T17</f>
        <v>0</v>
      </c>
      <c r="V29" s="229">
        <f>Arkusz1!U17</f>
        <v>0</v>
      </c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34"/>
    </row>
    <row r="30" spans="1:33" ht="21" customHeight="1">
      <c r="A30" s="163"/>
      <c r="B30" s="176"/>
      <c r="C30" s="176"/>
      <c r="D30" s="194" t="s">
        <v>241</v>
      </c>
      <c r="E30" s="229">
        <f>Arkusz1!D18</f>
        <v>455267</v>
      </c>
      <c r="F30" s="229">
        <f>Arkusz1!E18</f>
        <v>0</v>
      </c>
      <c r="G30" s="229">
        <f>Arkusz1!F18</f>
        <v>0</v>
      </c>
      <c r="H30" s="229">
        <f>Arkusz1!G18</f>
        <v>0</v>
      </c>
      <c r="I30" s="229">
        <f>Arkusz1!H18</f>
        <v>0</v>
      </c>
      <c r="J30" s="229">
        <f>Arkusz1!I18</f>
        <v>0</v>
      </c>
      <c r="K30" s="229">
        <f>Arkusz1!J18</f>
        <v>0</v>
      </c>
      <c r="L30" s="229">
        <f>Arkusz1!K18</f>
        <v>0</v>
      </c>
      <c r="M30" s="229">
        <f>Arkusz1!L18</f>
        <v>0</v>
      </c>
      <c r="N30" s="229">
        <f>Arkusz1!M18</f>
        <v>0</v>
      </c>
      <c r="O30" s="229">
        <f>Arkusz1!N18</f>
        <v>0</v>
      </c>
      <c r="P30" s="229">
        <f>Arkusz1!O18</f>
        <v>0</v>
      </c>
      <c r="Q30" s="229">
        <f>Arkusz1!P18</f>
        <v>0</v>
      </c>
      <c r="R30" s="229">
        <f>Arkusz1!Q18</f>
        <v>0</v>
      </c>
      <c r="S30" s="229">
        <f>Arkusz1!R18</f>
        <v>0</v>
      </c>
      <c r="T30" s="229">
        <f>Arkusz1!S18</f>
        <v>0</v>
      </c>
      <c r="U30" s="229">
        <f>Arkusz1!T18</f>
        <v>0</v>
      </c>
      <c r="V30" s="229">
        <f>Arkusz1!U18</f>
        <v>0</v>
      </c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35"/>
    </row>
    <row r="31" spans="1:33" ht="21" customHeight="1">
      <c r="A31" s="163"/>
      <c r="B31" s="193"/>
      <c r="C31" s="176" t="s">
        <v>242</v>
      </c>
      <c r="D31" s="195"/>
      <c r="E31" s="229">
        <f>Arkusz1!D42</f>
        <v>2276283</v>
      </c>
      <c r="F31" s="229">
        <f>Arkusz1!E42</f>
        <v>0</v>
      </c>
      <c r="G31" s="229">
        <f>Arkusz1!F42</f>
        <v>0</v>
      </c>
      <c r="H31" s="229">
        <f>Arkusz1!G42</f>
        <v>0</v>
      </c>
      <c r="I31" s="229">
        <f>Arkusz1!H42</f>
        <v>0</v>
      </c>
      <c r="J31" s="229">
        <f>Arkusz1!I42</f>
        <v>0</v>
      </c>
      <c r="K31" s="229">
        <f>Arkusz1!J42</f>
        <v>0</v>
      </c>
      <c r="L31" s="229">
        <f>Arkusz1!K42</f>
        <v>0</v>
      </c>
      <c r="M31" s="229">
        <f>Arkusz1!L42</f>
        <v>0</v>
      </c>
      <c r="N31" s="229">
        <f>Arkusz1!M42</f>
        <v>0</v>
      </c>
      <c r="O31" s="229">
        <f>Arkusz1!N42</f>
        <v>0</v>
      </c>
      <c r="P31" s="229">
        <f>Arkusz1!O42</f>
        <v>0</v>
      </c>
      <c r="Q31" s="229">
        <f>Arkusz1!P42</f>
        <v>0</v>
      </c>
      <c r="R31" s="229">
        <f>Arkusz1!Q42</f>
        <v>0</v>
      </c>
      <c r="S31" s="229">
        <f>Arkusz1!R42</f>
        <v>0</v>
      </c>
      <c r="T31" s="229">
        <f>Arkusz1!S42</f>
        <v>0</v>
      </c>
      <c r="U31" s="229">
        <f>Arkusz1!T42</f>
        <v>0</v>
      </c>
      <c r="V31" s="229">
        <f>Arkusz1!U42</f>
        <v>0</v>
      </c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34"/>
    </row>
    <row r="32" spans="1:33" ht="21" customHeight="1">
      <c r="A32" s="163"/>
      <c r="B32" s="193"/>
      <c r="C32" s="176"/>
      <c r="D32" s="196" t="s">
        <v>243</v>
      </c>
      <c r="E32" s="236">
        <v>1523511</v>
      </c>
      <c r="F32" s="236">
        <v>0</v>
      </c>
      <c r="G32" s="236">
        <v>0</v>
      </c>
      <c r="H32" s="236">
        <v>0</v>
      </c>
      <c r="I32" s="236">
        <v>0</v>
      </c>
      <c r="J32" s="236">
        <v>0</v>
      </c>
      <c r="K32" s="236">
        <v>0</v>
      </c>
      <c r="L32" s="236">
        <v>0</v>
      </c>
      <c r="M32" s="236">
        <v>0</v>
      </c>
      <c r="N32" s="236">
        <v>0</v>
      </c>
      <c r="O32" s="236">
        <v>0</v>
      </c>
      <c r="P32" s="236">
        <v>0</v>
      </c>
      <c r="Q32" s="236">
        <v>0</v>
      </c>
      <c r="R32" s="236">
        <v>0</v>
      </c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7"/>
    </row>
    <row r="33" spans="1:248" ht="21" customHeight="1">
      <c r="A33" s="163"/>
      <c r="B33" s="193"/>
      <c r="C33" s="176" t="s">
        <v>244</v>
      </c>
      <c r="D33" s="195"/>
      <c r="E33" s="229">
        <f>Arkusz1!D19</f>
        <v>0</v>
      </c>
      <c r="F33" s="229">
        <f>Arkusz1!E19</f>
        <v>0</v>
      </c>
      <c r="G33" s="229">
        <f>Arkusz1!F19</f>
        <v>0</v>
      </c>
      <c r="H33" s="229">
        <f>Arkusz1!G19</f>
        <v>0</v>
      </c>
      <c r="I33" s="229">
        <f>Arkusz1!H19</f>
        <v>0</v>
      </c>
      <c r="J33" s="229">
        <f>Arkusz1!I19</f>
        <v>0</v>
      </c>
      <c r="K33" s="229">
        <f>Arkusz1!J19</f>
        <v>0</v>
      </c>
      <c r="L33" s="229">
        <f>Arkusz1!K19</f>
        <v>0</v>
      </c>
      <c r="M33" s="229">
        <f>Arkusz1!L19</f>
        <v>0</v>
      </c>
      <c r="N33" s="229">
        <f>Arkusz1!M19</f>
        <v>0</v>
      </c>
      <c r="O33" s="229">
        <f>Arkusz1!N19</f>
        <v>0</v>
      </c>
      <c r="P33" s="229">
        <f>Arkusz1!O19</f>
        <v>0</v>
      </c>
      <c r="Q33" s="229">
        <f>Arkusz1!P19</f>
        <v>0</v>
      </c>
      <c r="R33" s="229">
        <f>Arkusz1!Q19</f>
        <v>0</v>
      </c>
      <c r="S33" s="229">
        <f>Arkusz1!R19</f>
        <v>0</v>
      </c>
      <c r="T33" s="229">
        <f>Arkusz1!S19</f>
        <v>0</v>
      </c>
      <c r="U33" s="229">
        <f>Arkusz1!T19</f>
        <v>0</v>
      </c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34"/>
    </row>
    <row r="34" spans="1:248" ht="21" customHeight="1" thickBot="1">
      <c r="A34" s="171"/>
      <c r="B34" s="197"/>
      <c r="C34" s="198"/>
      <c r="D34" s="199" t="s">
        <v>243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9"/>
    </row>
    <row r="35" spans="1:248" ht="21" customHeight="1">
      <c r="A35" s="200" t="s">
        <v>35</v>
      </c>
      <c r="B35" s="201" t="s">
        <v>245</v>
      </c>
      <c r="C35" s="201"/>
      <c r="D35" s="202"/>
      <c r="E35" s="240">
        <f>E36+E38</f>
        <v>752772</v>
      </c>
      <c r="F35" s="240">
        <f t="shared" ref="F35:V35" si="7">F36+F38</f>
        <v>4425325</v>
      </c>
      <c r="G35" s="240">
        <f t="shared" si="7"/>
        <v>0</v>
      </c>
      <c r="H35" s="240">
        <f t="shared" si="7"/>
        <v>200000</v>
      </c>
      <c r="I35" s="240">
        <f t="shared" si="7"/>
        <v>500000</v>
      </c>
      <c r="J35" s="240">
        <f t="shared" si="7"/>
        <v>700000</v>
      </c>
      <c r="K35" s="240">
        <f t="shared" si="7"/>
        <v>700000</v>
      </c>
      <c r="L35" s="240">
        <f t="shared" si="7"/>
        <v>1200000</v>
      </c>
      <c r="M35" s="240">
        <f t="shared" si="7"/>
        <v>1400000</v>
      </c>
      <c r="N35" s="240">
        <f t="shared" si="7"/>
        <v>1200000</v>
      </c>
      <c r="O35" s="240">
        <f t="shared" si="7"/>
        <v>1230000</v>
      </c>
      <c r="P35" s="240">
        <f t="shared" si="7"/>
        <v>1100000</v>
      </c>
      <c r="Q35" s="240">
        <f t="shared" si="7"/>
        <v>1003983</v>
      </c>
      <c r="R35" s="240">
        <f t="shared" si="7"/>
        <v>0</v>
      </c>
      <c r="S35" s="240">
        <f t="shared" si="7"/>
        <v>0</v>
      </c>
      <c r="T35" s="240">
        <f t="shared" si="7"/>
        <v>0</v>
      </c>
      <c r="U35" s="240">
        <f t="shared" si="7"/>
        <v>0</v>
      </c>
      <c r="V35" s="240">
        <f t="shared" si="7"/>
        <v>0</v>
      </c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</row>
    <row r="36" spans="1:248" ht="21" customHeight="1">
      <c r="A36" s="163"/>
      <c r="B36" s="176"/>
      <c r="C36" s="259" t="s">
        <v>246</v>
      </c>
      <c r="D36" s="260"/>
      <c r="E36" s="226">
        <f>Arkusz1!D22</f>
        <v>752772</v>
      </c>
      <c r="F36" s="226">
        <f>Arkusz1!E22</f>
        <v>4425325</v>
      </c>
      <c r="G36" s="226">
        <f>Arkusz1!F22</f>
        <v>0</v>
      </c>
      <c r="H36" s="226">
        <f>Arkusz1!G22</f>
        <v>200000</v>
      </c>
      <c r="I36" s="226">
        <f>Arkusz1!H22</f>
        <v>500000</v>
      </c>
      <c r="J36" s="226">
        <f>Arkusz1!I22</f>
        <v>700000</v>
      </c>
      <c r="K36" s="226">
        <f>Arkusz1!J22</f>
        <v>700000</v>
      </c>
      <c r="L36" s="226">
        <f>Arkusz1!K22</f>
        <v>1200000</v>
      </c>
      <c r="M36" s="226">
        <f>Arkusz1!L22</f>
        <v>1400000</v>
      </c>
      <c r="N36" s="226">
        <f>Arkusz1!M22</f>
        <v>1200000</v>
      </c>
      <c r="O36" s="226">
        <f>Arkusz1!N22</f>
        <v>1230000</v>
      </c>
      <c r="P36" s="226">
        <f>Arkusz1!O22</f>
        <v>1100000</v>
      </c>
      <c r="Q36" s="226">
        <f>Arkusz1!P22</f>
        <v>1003983</v>
      </c>
      <c r="R36" s="226">
        <f>Arkusz1!Q22</f>
        <v>0</v>
      </c>
      <c r="S36" s="226">
        <f>Arkusz1!R22</f>
        <v>0</v>
      </c>
      <c r="T36" s="226">
        <f>Arkusz1!S22</f>
        <v>0</v>
      </c>
      <c r="U36" s="226">
        <f>Arkusz1!T22</f>
        <v>0</v>
      </c>
      <c r="V36" s="226">
        <f>Arkusz1!U22</f>
        <v>0</v>
      </c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</row>
    <row r="37" spans="1:248" ht="21" customHeight="1">
      <c r="A37" s="163"/>
      <c r="B37" s="164"/>
      <c r="C37" s="271" t="s">
        <v>247</v>
      </c>
      <c r="D37" s="272"/>
      <c r="E37" s="226">
        <f>Arkusz1!D47</f>
        <v>0</v>
      </c>
      <c r="F37" s="226">
        <f>Arkusz1!E47</f>
        <v>3855000</v>
      </c>
      <c r="G37" s="226">
        <f>Arkusz1!F47</f>
        <v>0</v>
      </c>
      <c r="H37" s="226">
        <f>Arkusz1!G47</f>
        <v>0</v>
      </c>
      <c r="I37" s="226">
        <f>Arkusz1!H47</f>
        <v>0</v>
      </c>
      <c r="J37" s="226">
        <f>Arkusz1!I47</f>
        <v>0</v>
      </c>
      <c r="K37" s="226">
        <f>Arkusz1!J47</f>
        <v>0</v>
      </c>
      <c r="L37" s="226">
        <f>Arkusz1!K47</f>
        <v>0</v>
      </c>
      <c r="M37" s="226">
        <f>Arkusz1!L47</f>
        <v>0</v>
      </c>
      <c r="N37" s="226">
        <f>Arkusz1!M47</f>
        <v>0</v>
      </c>
      <c r="O37" s="226">
        <f>Arkusz1!N47</f>
        <v>0</v>
      </c>
      <c r="P37" s="226">
        <f>Arkusz1!O47</f>
        <v>0</v>
      </c>
      <c r="Q37" s="226">
        <f>Arkusz1!P47</f>
        <v>0</v>
      </c>
      <c r="R37" s="226">
        <f>Arkusz1!Q47</f>
        <v>0</v>
      </c>
      <c r="S37" s="226">
        <f>Arkusz1!R47</f>
        <v>0</v>
      </c>
      <c r="T37" s="226">
        <f>Arkusz1!S47</f>
        <v>0</v>
      </c>
      <c r="U37" s="226">
        <f>Arkusz1!T47</f>
        <v>0</v>
      </c>
      <c r="V37" s="226">
        <f>Arkusz1!U47</f>
        <v>0</v>
      </c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</row>
    <row r="38" spans="1:248" ht="21" customHeight="1" thickBot="1">
      <c r="A38" s="171"/>
      <c r="B38" s="203"/>
      <c r="C38" s="198" t="s">
        <v>248</v>
      </c>
      <c r="D38" s="204"/>
      <c r="E38" s="241">
        <f>Arkusz1!D38</f>
        <v>0</v>
      </c>
      <c r="F38" s="241">
        <f>Arkusz1!E38</f>
        <v>0</v>
      </c>
      <c r="G38" s="241">
        <f>Arkusz1!F38</f>
        <v>0</v>
      </c>
      <c r="H38" s="241">
        <f>Arkusz1!G38</f>
        <v>0</v>
      </c>
      <c r="I38" s="241">
        <f>Arkusz1!H38</f>
        <v>0</v>
      </c>
      <c r="J38" s="241">
        <f>Arkusz1!I38</f>
        <v>0</v>
      </c>
      <c r="K38" s="241">
        <f>Arkusz1!J38</f>
        <v>0</v>
      </c>
      <c r="L38" s="241">
        <f>Arkusz1!K38</f>
        <v>0</v>
      </c>
      <c r="M38" s="241">
        <f>Arkusz1!L38</f>
        <v>0</v>
      </c>
      <c r="N38" s="241">
        <f>Arkusz1!M38</f>
        <v>0</v>
      </c>
      <c r="O38" s="241">
        <f>Arkusz1!N38</f>
        <v>0</v>
      </c>
      <c r="P38" s="241">
        <f>Arkusz1!O38</f>
        <v>0</v>
      </c>
      <c r="Q38" s="241">
        <v>0</v>
      </c>
      <c r="R38" s="241">
        <v>0</v>
      </c>
      <c r="S38" s="241">
        <f>Arkusz1!R38</f>
        <v>0</v>
      </c>
      <c r="T38" s="241">
        <f>Arkusz1!S38</f>
        <v>0</v>
      </c>
      <c r="U38" s="241">
        <f>Arkusz1!T38</f>
        <v>0</v>
      </c>
      <c r="V38" s="241">
        <f>Arkusz1!U38</f>
        <v>0</v>
      </c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</row>
    <row r="39" spans="1:248" ht="21" customHeight="1">
      <c r="A39" s="200" t="s">
        <v>40</v>
      </c>
      <c r="B39" s="161" t="s">
        <v>249</v>
      </c>
      <c r="C39" s="161"/>
      <c r="D39" s="162"/>
      <c r="E39" s="240">
        <f>Arkusz1!D45+E40</f>
        <v>13688858</v>
      </c>
      <c r="F39" s="240">
        <f>Arkusz1!E45+F40</f>
        <v>9253683</v>
      </c>
      <c r="G39" s="240">
        <f>Arkusz1!F45+G40</f>
        <v>9243833</v>
      </c>
      <c r="H39" s="240">
        <f>Arkusz1!G45+H40</f>
        <v>9033983</v>
      </c>
      <c r="I39" s="240">
        <f t="shared" ref="I39:S39" si="8">H39-I36+I31</f>
        <v>8533983</v>
      </c>
      <c r="J39" s="240">
        <f t="shared" si="8"/>
        <v>7833983</v>
      </c>
      <c r="K39" s="240">
        <f t="shared" si="8"/>
        <v>7133983</v>
      </c>
      <c r="L39" s="240">
        <f t="shared" si="8"/>
        <v>5933983</v>
      </c>
      <c r="M39" s="240">
        <f t="shared" si="8"/>
        <v>4533983</v>
      </c>
      <c r="N39" s="240">
        <f t="shared" si="8"/>
        <v>3333983</v>
      </c>
      <c r="O39" s="240">
        <f t="shared" si="8"/>
        <v>2103983</v>
      </c>
      <c r="P39" s="240">
        <f t="shared" si="8"/>
        <v>1003983</v>
      </c>
      <c r="Q39" s="240">
        <f t="shared" si="8"/>
        <v>0</v>
      </c>
      <c r="R39" s="240">
        <f t="shared" si="8"/>
        <v>0</v>
      </c>
      <c r="S39" s="240">
        <f t="shared" si="8"/>
        <v>0</v>
      </c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  <c r="GU39" s="173"/>
      <c r="GV39" s="173"/>
      <c r="GW39" s="173"/>
      <c r="GX39" s="173"/>
      <c r="GY39" s="173"/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3"/>
      <c r="HM39" s="173"/>
      <c r="HN39" s="173"/>
      <c r="HO39" s="173"/>
      <c r="HP39" s="173"/>
      <c r="HQ39" s="173"/>
      <c r="HR39" s="173"/>
      <c r="HS39" s="173"/>
      <c r="HT39" s="173"/>
      <c r="HU39" s="173"/>
      <c r="HV39" s="173"/>
      <c r="HW39" s="173"/>
      <c r="HX39" s="173"/>
      <c r="HY39" s="173"/>
      <c r="HZ39" s="173"/>
      <c r="IA39" s="173"/>
      <c r="IB39" s="173"/>
      <c r="IC39" s="173"/>
      <c r="ID39" s="173"/>
      <c r="IE39" s="173"/>
      <c r="IF39" s="173"/>
      <c r="IG39" s="173"/>
      <c r="IH39" s="173"/>
      <c r="II39" s="173"/>
      <c r="IJ39" s="173"/>
      <c r="IK39" s="173"/>
      <c r="IL39" s="173"/>
      <c r="IM39" s="173"/>
      <c r="IN39" s="173"/>
    </row>
    <row r="40" spans="1:248" ht="21" customHeight="1">
      <c r="A40" s="200"/>
      <c r="B40" s="201"/>
      <c r="C40" s="273" t="s">
        <v>250</v>
      </c>
      <c r="D40" s="274"/>
      <c r="E40" s="257">
        <v>29550</v>
      </c>
      <c r="F40" s="257">
        <v>19700</v>
      </c>
      <c r="G40" s="257">
        <v>9850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57">
        <v>0</v>
      </c>
      <c r="Q40" s="257">
        <v>0</v>
      </c>
      <c r="R40" s="257">
        <v>0</v>
      </c>
      <c r="S40" s="253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</row>
    <row r="41" spans="1:248" ht="21" customHeight="1">
      <c r="A41" s="174" t="s">
        <v>41</v>
      </c>
      <c r="B41" s="275" t="s">
        <v>251</v>
      </c>
      <c r="C41" s="276"/>
      <c r="D41" s="277"/>
      <c r="E41" s="226">
        <f>Arkusz1!D46</f>
        <v>6191064</v>
      </c>
      <c r="F41" s="226">
        <f>Arkusz1!E46</f>
        <v>33250</v>
      </c>
      <c r="G41" s="226">
        <f>Arkusz1!F46</f>
        <v>33250</v>
      </c>
      <c r="H41" s="226">
        <f>Arkusz1!G46</f>
        <v>0</v>
      </c>
      <c r="I41" s="226">
        <f>Arkusz1!H46</f>
        <v>0</v>
      </c>
      <c r="J41" s="226">
        <f>Arkusz1!I46</f>
        <v>0</v>
      </c>
      <c r="K41" s="226">
        <f>Arkusz1!J46</f>
        <v>0</v>
      </c>
      <c r="L41" s="226">
        <f>Arkusz1!K46</f>
        <v>0</v>
      </c>
      <c r="M41" s="226">
        <f>Arkusz1!L46</f>
        <v>0</v>
      </c>
      <c r="N41" s="226">
        <f>Arkusz1!M46</f>
        <v>0</v>
      </c>
      <c r="O41" s="226">
        <f>Arkusz1!N46</f>
        <v>0</v>
      </c>
      <c r="P41" s="226">
        <f>Arkusz1!O46</f>
        <v>0</v>
      </c>
      <c r="Q41" s="226">
        <f>Arkusz1!P46</f>
        <v>0</v>
      </c>
      <c r="R41" s="226">
        <f>Arkusz1!Q46</f>
        <v>0</v>
      </c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</row>
    <row r="42" spans="1:248" ht="21" customHeight="1">
      <c r="A42" s="205" t="s">
        <v>42</v>
      </c>
      <c r="B42" s="265" t="s">
        <v>252</v>
      </c>
      <c r="C42" s="278"/>
      <c r="D42" s="278"/>
      <c r="E42" s="206">
        <f>E39/E5</f>
        <v>0.80715352167346732</v>
      </c>
      <c r="F42" s="206">
        <f>F39/F5</f>
        <v>0.45758077450102874</v>
      </c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</row>
    <row r="43" spans="1:248" ht="21" customHeight="1">
      <c r="A43" s="205" t="s">
        <v>253</v>
      </c>
      <c r="B43" s="265" t="s">
        <v>254</v>
      </c>
      <c r="C43" s="265"/>
      <c r="D43" s="265"/>
      <c r="E43" s="206">
        <f>(E39-E41)/E5</f>
        <v>0.44210195122793977</v>
      </c>
      <c r="F43" s="206">
        <f>(F39-F41)/F5</f>
        <v>0.45593661176580652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</row>
    <row r="44" spans="1:248" ht="21" customHeight="1">
      <c r="A44" s="205" t="s">
        <v>21</v>
      </c>
      <c r="B44" s="265" t="s">
        <v>255</v>
      </c>
      <c r="C44" s="265"/>
      <c r="D44" s="265"/>
      <c r="E44" s="206">
        <f>(E36+E22)/E5</f>
        <v>8.3840824065771577E-2</v>
      </c>
      <c r="F44" s="206">
        <f>(F36+F22)/F5</f>
        <v>0.25436503696102553</v>
      </c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</row>
    <row r="45" spans="1:248" ht="21" customHeight="1">
      <c r="A45" s="205" t="s">
        <v>256</v>
      </c>
      <c r="B45" s="265" t="s">
        <v>257</v>
      </c>
      <c r="C45" s="265"/>
      <c r="D45" s="265"/>
      <c r="E45" s="206">
        <f>(E36+E22-E37)/E5</f>
        <v>8.3840824065771577E-2</v>
      </c>
      <c r="F45" s="206">
        <f>(F36+F22-F37)/F5</f>
        <v>6.3741056681879849E-2</v>
      </c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</row>
    <row r="46" spans="1:248" ht="39" customHeight="1">
      <c r="A46" s="174" t="s">
        <v>23</v>
      </c>
      <c r="B46" s="275" t="s">
        <v>258</v>
      </c>
      <c r="C46" s="276"/>
      <c r="D46" s="277"/>
      <c r="E46" s="229">
        <v>0</v>
      </c>
      <c r="F46" s="229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</row>
    <row r="47" spans="1:248" ht="21" customHeight="1">
      <c r="A47" s="174" t="s">
        <v>24</v>
      </c>
      <c r="B47" s="270" t="s">
        <v>259</v>
      </c>
      <c r="C47" s="259"/>
      <c r="D47" s="260"/>
      <c r="E47" s="251">
        <f>(SUM(Arkusz2!D8:F8))/3</f>
        <v>-7.5373867480018272E-3</v>
      </c>
      <c r="F47" s="251">
        <f>(Arkusz2!E8+Arkusz2!F8+((E6+E11-E14)/E5))/3</f>
        <v>-1.8387623031991457E-2</v>
      </c>
      <c r="G47" s="251">
        <f>(Arkusz2!F8+(E6+E11-E14)/E5+(F6+F11-F14)/F5)/3</f>
        <v>2.6635277732187573E-2</v>
      </c>
      <c r="H47" s="251">
        <f>((E6+E11-E14)/E5+(F6+F11-F14)/F5+(G6+G11-G14)/G5)/3</f>
        <v>6.1933689413734838E-2</v>
      </c>
      <c r="I47" s="251">
        <f t="shared" ref="I47:R47" si="9">((F6+F11-F14)/F5+(G6+G11-G14)/G5+(H6+H11-H14)/H5)/3</f>
        <v>0.10419005930874144</v>
      </c>
      <c r="J47" s="251">
        <f t="shared" si="9"/>
        <v>0.11343285317066477</v>
      </c>
      <c r="K47" s="251">
        <f t="shared" si="9"/>
        <v>0.11647962867970137</v>
      </c>
      <c r="L47" s="251">
        <f t="shared" si="9"/>
        <v>0.11813639936701088</v>
      </c>
      <c r="M47" s="251">
        <f t="shared" si="9"/>
        <v>0.12018542114988391</v>
      </c>
      <c r="N47" s="251">
        <f t="shared" si="9"/>
        <v>0.12275581411115666</v>
      </c>
      <c r="O47" s="251">
        <f t="shared" si="9"/>
        <v>0.12580022876958216</v>
      </c>
      <c r="P47" s="251">
        <f t="shared" si="9"/>
        <v>0.12912205401142862</v>
      </c>
      <c r="Q47" s="251">
        <f t="shared" si="9"/>
        <v>0.13228405200934196</v>
      </c>
      <c r="R47" s="251">
        <f t="shared" si="9"/>
        <v>0.13501785414194611</v>
      </c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</row>
    <row r="48" spans="1:248" ht="21" customHeight="1">
      <c r="A48" s="205" t="s">
        <v>25</v>
      </c>
      <c r="B48" s="265" t="s">
        <v>260</v>
      </c>
      <c r="C48" s="265"/>
      <c r="D48" s="265"/>
      <c r="E48" s="251">
        <f>(E36+E20)/E5</f>
        <v>8.4430466767648871E-2</v>
      </c>
      <c r="F48" s="251">
        <f t="shared" ref="F48:R48" si="10">(F36+F20)/F5</f>
        <v>0.25436503696102553</v>
      </c>
      <c r="G48" s="251">
        <f t="shared" si="10"/>
        <v>2.4257657236380639E-2</v>
      </c>
      <c r="H48" s="251">
        <f t="shared" si="10"/>
        <v>4.0682385490316629E-2</v>
      </c>
      <c r="I48" s="251">
        <f t="shared" si="10"/>
        <v>5.6838389388405963E-2</v>
      </c>
      <c r="J48" s="251">
        <f t="shared" si="10"/>
        <v>6.5364135274681129E-2</v>
      </c>
      <c r="K48" s="251">
        <f t="shared" si="10"/>
        <v>6.1520158865877125E-2</v>
      </c>
      <c r="L48" s="251">
        <f t="shared" si="10"/>
        <v>8.5211046595954174E-2</v>
      </c>
      <c r="M48" s="251">
        <f t="shared" si="10"/>
        <v>9.0212475360787192E-2</v>
      </c>
      <c r="N48" s="251">
        <f t="shared" si="10"/>
        <v>7.3681541307165269E-2</v>
      </c>
      <c r="O48" s="251">
        <f t="shared" si="10"/>
        <v>7.0062885161908284E-2</v>
      </c>
      <c r="P48" s="251">
        <f t="shared" si="10"/>
        <v>5.8721500147605375E-2</v>
      </c>
      <c r="Q48" s="251">
        <f t="shared" si="10"/>
        <v>4.9888636270467988E-2</v>
      </c>
      <c r="R48" s="251">
        <f t="shared" si="10"/>
        <v>0</v>
      </c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</row>
    <row r="49" spans="1:33" ht="22.5" customHeight="1">
      <c r="A49" s="205" t="s">
        <v>261</v>
      </c>
      <c r="B49" s="265" t="s">
        <v>262</v>
      </c>
      <c r="C49" s="265"/>
      <c r="D49" s="265"/>
      <c r="E49" s="252" t="str">
        <f>IF(E48&lt;=E47,"Zgodny z art. 243","Niezgodny z art. 243")</f>
        <v>Niezgodny z art. 243</v>
      </c>
      <c r="F49" s="252" t="str">
        <f t="shared" ref="F49:R49" si="11">IF(F48&lt;=F47,"Zgodny z art. 243","Niezgodny z art. 243")</f>
        <v>Niezgodny z art. 243</v>
      </c>
      <c r="G49" s="252" t="str">
        <f t="shared" si="11"/>
        <v>Zgodny z art. 243</v>
      </c>
      <c r="H49" s="252" t="str">
        <f t="shared" si="11"/>
        <v>Zgodny z art. 243</v>
      </c>
      <c r="I49" s="252" t="str">
        <f t="shared" si="11"/>
        <v>Zgodny z art. 243</v>
      </c>
      <c r="J49" s="252" t="str">
        <f t="shared" si="11"/>
        <v>Zgodny z art. 243</v>
      </c>
      <c r="K49" s="252" t="str">
        <f t="shared" si="11"/>
        <v>Zgodny z art. 243</v>
      </c>
      <c r="L49" s="252" t="str">
        <f t="shared" si="11"/>
        <v>Zgodny z art. 243</v>
      </c>
      <c r="M49" s="252" t="str">
        <f t="shared" si="11"/>
        <v>Zgodny z art. 243</v>
      </c>
      <c r="N49" s="252" t="str">
        <f t="shared" si="11"/>
        <v>Zgodny z art. 243</v>
      </c>
      <c r="O49" s="252" t="str">
        <f t="shared" si="11"/>
        <v>Zgodny z art. 243</v>
      </c>
      <c r="P49" s="252" t="str">
        <f t="shared" si="11"/>
        <v>Zgodny z art. 243</v>
      </c>
      <c r="Q49" s="252" t="str">
        <f t="shared" si="11"/>
        <v>Zgodny z art. 243</v>
      </c>
      <c r="R49" s="252" t="str">
        <f t="shared" si="11"/>
        <v>Zgodny z art. 243</v>
      </c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</row>
    <row r="50" spans="1:33" ht="21" customHeight="1">
      <c r="A50" s="205" t="s">
        <v>263</v>
      </c>
      <c r="B50" s="265" t="s">
        <v>264</v>
      </c>
      <c r="C50" s="265"/>
      <c r="D50" s="265"/>
      <c r="E50" s="251">
        <f>(E36+E20-E37)/E5</f>
        <v>8.4430466767648871E-2</v>
      </c>
      <c r="F50" s="251">
        <f t="shared" ref="F50:R50" si="12">(F36+F20-F37)/F5</f>
        <v>6.3741056681879849E-2</v>
      </c>
      <c r="G50" s="251">
        <f t="shared" si="12"/>
        <v>2.4257657236380639E-2</v>
      </c>
      <c r="H50" s="251">
        <f t="shared" si="12"/>
        <v>4.0682385490316629E-2</v>
      </c>
      <c r="I50" s="251">
        <f t="shared" si="12"/>
        <v>5.6838389388405963E-2</v>
      </c>
      <c r="J50" s="251">
        <f t="shared" si="12"/>
        <v>6.5364135274681129E-2</v>
      </c>
      <c r="K50" s="251">
        <f t="shared" si="12"/>
        <v>6.1520158865877125E-2</v>
      </c>
      <c r="L50" s="251">
        <f t="shared" si="12"/>
        <v>8.5211046595954174E-2</v>
      </c>
      <c r="M50" s="251">
        <f t="shared" si="12"/>
        <v>9.0212475360787192E-2</v>
      </c>
      <c r="N50" s="251">
        <f t="shared" si="12"/>
        <v>7.3681541307165269E-2</v>
      </c>
      <c r="O50" s="251">
        <f t="shared" si="12"/>
        <v>7.0062885161908284E-2</v>
      </c>
      <c r="P50" s="251">
        <f t="shared" si="12"/>
        <v>5.8721500147605375E-2</v>
      </c>
      <c r="Q50" s="251">
        <f t="shared" si="12"/>
        <v>4.9888636270467988E-2</v>
      </c>
      <c r="R50" s="251">
        <f t="shared" si="12"/>
        <v>0</v>
      </c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</row>
    <row r="51" spans="1:33" ht="23.25" customHeight="1">
      <c r="A51" s="205" t="s">
        <v>265</v>
      </c>
      <c r="B51" s="266" t="s">
        <v>266</v>
      </c>
      <c r="C51" s="266"/>
      <c r="D51" s="266"/>
      <c r="E51" s="252" t="str">
        <f>IF(E50&lt;=E47,"Zgodny z art. 243","Niezgodny z art. 243")</f>
        <v>Niezgodny z art. 243</v>
      </c>
      <c r="F51" s="252" t="str">
        <f t="shared" ref="F51:L51" si="13">IF(F50&lt;=F47,"Zgodny z art. 243","Niezgodny z art. 243")</f>
        <v>Niezgodny z art. 243</v>
      </c>
      <c r="G51" s="252" t="str">
        <f t="shared" si="13"/>
        <v>Zgodny z art. 243</v>
      </c>
      <c r="H51" s="252" t="str">
        <f t="shared" si="13"/>
        <v>Zgodny z art. 243</v>
      </c>
      <c r="I51" s="252" t="str">
        <f t="shared" si="13"/>
        <v>Zgodny z art. 243</v>
      </c>
      <c r="J51" s="252" t="str">
        <f t="shared" si="13"/>
        <v>Zgodny z art. 243</v>
      </c>
      <c r="K51" s="252" t="str">
        <f t="shared" si="13"/>
        <v>Zgodny z art. 243</v>
      </c>
      <c r="L51" s="252" t="str">
        <f t="shared" si="13"/>
        <v>Zgodny z art. 243</v>
      </c>
      <c r="M51" s="252" t="str">
        <f t="shared" ref="M51" si="14">IF(M50&lt;=M47,"Zgodny z art. 243","Niezgodny z art. 243")</f>
        <v>Zgodny z art. 243</v>
      </c>
      <c r="N51" s="252" t="str">
        <f t="shared" ref="N51" si="15">IF(N50&lt;=N47,"Zgodny z art. 243","Niezgodny z art. 243")</f>
        <v>Zgodny z art. 243</v>
      </c>
      <c r="O51" s="252" t="str">
        <f t="shared" ref="O51" si="16">IF(O50&lt;=O47,"Zgodny z art. 243","Niezgodny z art. 243")</f>
        <v>Zgodny z art. 243</v>
      </c>
      <c r="P51" s="252" t="str">
        <f t="shared" ref="P51" si="17">IF(P50&lt;=P47,"Zgodny z art. 243","Niezgodny z art. 243")</f>
        <v>Zgodny z art. 243</v>
      </c>
      <c r="Q51" s="252" t="str">
        <f t="shared" ref="Q51" si="18">IF(Q50&lt;=Q47,"Zgodny z art. 243","Niezgodny z art. 243")</f>
        <v>Zgodny z art. 243</v>
      </c>
      <c r="R51" s="252" t="str">
        <f t="shared" ref="R51" si="19">IF(R50&lt;=R47,"Zgodny z art. 243","Niezgodny z art. 243")</f>
        <v>Zgodny z art. 243</v>
      </c>
      <c r="S51" s="252" t="str">
        <f t="shared" ref="S51" si="20">IF(S50&lt;=S47,"Zgodny z art. 243","Niezgodny z art. 243")</f>
        <v>Zgodny z art. 243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</row>
    <row r="52" spans="1:33" ht="21" customHeight="1">
      <c r="A52" s="200" t="s">
        <v>267</v>
      </c>
      <c r="B52" s="267" t="s">
        <v>268</v>
      </c>
      <c r="C52" s="268"/>
      <c r="D52" s="269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33" ht="21" customHeight="1">
      <c r="A53" s="163"/>
      <c r="B53" s="164"/>
      <c r="C53" s="259" t="s">
        <v>269</v>
      </c>
      <c r="D53" s="260"/>
      <c r="E53" s="226">
        <f>Arkusz1!D11</f>
        <v>6496980</v>
      </c>
      <c r="F53" s="226">
        <f>Arkusz1!E11</f>
        <v>6561949.7999999998</v>
      </c>
      <c r="G53" s="226">
        <f>Arkusz1!F11</f>
        <v>6758808.2939999998</v>
      </c>
      <c r="H53" s="226">
        <f>Arkusz1!G11</f>
        <v>6961572.5428200001</v>
      </c>
      <c r="I53" s="226">
        <f>Arkusz1!H11</f>
        <v>7170419.7191046001</v>
      </c>
      <c r="J53" s="226">
        <f>Arkusz1!I11</f>
        <v>7385532.3106777379</v>
      </c>
      <c r="K53" s="226">
        <f>Arkusz1!J11</f>
        <v>7607098.2799980706</v>
      </c>
      <c r="L53" s="226">
        <f>Arkusz1!K11</f>
        <v>7835311.2283980129</v>
      </c>
      <c r="M53" s="226">
        <f>Arkusz1!L11</f>
        <v>8070370.5652499534</v>
      </c>
      <c r="N53" s="226">
        <f>Arkusz1!M11</f>
        <v>8312481.6822074521</v>
      </c>
      <c r="O53" s="226">
        <f>Arkusz1!N11</f>
        <v>8561856.1326736752</v>
      </c>
      <c r="P53" s="226">
        <f>Arkusz1!O11</f>
        <v>8818711.8166538849</v>
      </c>
      <c r="Q53" s="226">
        <f>Arkusz1!P11</f>
        <v>9083273.1711535025</v>
      </c>
      <c r="R53" s="226">
        <f>Arkusz1!Q11</f>
        <v>9355771.3662881088</v>
      </c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</row>
    <row r="54" spans="1:33" ht="21" customHeight="1">
      <c r="A54" s="163"/>
      <c r="B54" s="164"/>
      <c r="C54" s="259" t="s">
        <v>270</v>
      </c>
      <c r="D54" s="260"/>
      <c r="E54" s="226">
        <f>Arkusz1!D12</f>
        <v>2636145</v>
      </c>
      <c r="F54" s="226">
        <f>Arkusz1!E12</f>
        <v>2662506.4500000002</v>
      </c>
      <c r="G54" s="226">
        <f>Arkusz1!F12</f>
        <v>2742381.6435000002</v>
      </c>
      <c r="H54" s="226">
        <f>Arkusz1!G12</f>
        <v>2824653.0928050005</v>
      </c>
      <c r="I54" s="226">
        <f>Arkusz1!H12</f>
        <v>2909392.6855891505</v>
      </c>
      <c r="J54" s="226">
        <f>Arkusz1!I12</f>
        <v>2996674.466156825</v>
      </c>
      <c r="K54" s="226">
        <f>Arkusz1!J12</f>
        <v>3086574.70014153</v>
      </c>
      <c r="L54" s="226">
        <f>Arkusz1!K12</f>
        <v>3179171.9411457758</v>
      </c>
      <c r="M54" s="226">
        <f>Arkusz1!L12</f>
        <v>3274547.099380149</v>
      </c>
      <c r="N54" s="226">
        <f>Arkusz1!M12</f>
        <v>3372783.5123615535</v>
      </c>
      <c r="O54" s="226">
        <f>Arkusz1!N12</f>
        <v>3473967.0177324</v>
      </c>
      <c r="P54" s="226">
        <f>Arkusz1!O12</f>
        <v>3578186.0282643721</v>
      </c>
      <c r="Q54" s="226">
        <f>Arkusz1!P12</f>
        <v>3685531.6091123032</v>
      </c>
      <c r="R54" s="226">
        <f>Arkusz1!Q12</f>
        <v>3796097.5573856723</v>
      </c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</row>
    <row r="55" spans="1:33" ht="21" customHeight="1">
      <c r="A55" s="163"/>
      <c r="B55" s="164"/>
      <c r="C55" s="259" t="s">
        <v>271</v>
      </c>
      <c r="D55" s="261"/>
      <c r="E55" s="303">
        <f>Arkusz1!D15</f>
        <v>836343</v>
      </c>
      <c r="F55" s="303">
        <f>Arkusz1!E15</f>
        <v>544469</v>
      </c>
      <c r="G55" s="303">
        <f>Arkusz1!F15</f>
        <v>129080</v>
      </c>
      <c r="H55" s="303">
        <f>Arkusz1!G15</f>
        <v>0</v>
      </c>
      <c r="I55" s="226">
        <f>Arkusz1!H15</f>
        <v>0</v>
      </c>
      <c r="J55" s="226">
        <f>Arkusz1!I15</f>
        <v>0</v>
      </c>
      <c r="K55" s="226">
        <f>Arkusz1!J15</f>
        <v>0</v>
      </c>
      <c r="L55" s="226">
        <f>Arkusz1!K15</f>
        <v>0</v>
      </c>
      <c r="M55" s="226">
        <f>Arkusz1!L15</f>
        <v>0</v>
      </c>
      <c r="N55" s="226">
        <f>Arkusz1!M15</f>
        <v>0</v>
      </c>
      <c r="O55" s="226">
        <f>Arkusz1!N15</f>
        <v>0</v>
      </c>
      <c r="P55" s="226">
        <f>Arkusz1!O15</f>
        <v>0</v>
      </c>
      <c r="Q55" s="226">
        <f>Arkusz1!P15</f>
        <v>0</v>
      </c>
      <c r="R55" s="226">
        <f>Arkusz1!Q15</f>
        <v>0</v>
      </c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</row>
    <row r="56" spans="1:33" ht="21" customHeight="1" thickBot="1">
      <c r="A56" s="171"/>
      <c r="B56" s="207"/>
      <c r="C56" s="208" t="s">
        <v>272</v>
      </c>
      <c r="D56" s="209"/>
      <c r="E56" s="304">
        <f>Arkusz1!D41</f>
        <v>1526938</v>
      </c>
      <c r="F56" s="304">
        <f>Arkusz1!E41</f>
        <v>1439667</v>
      </c>
      <c r="G56" s="304">
        <f>Arkusz1!F41</f>
        <v>1755304</v>
      </c>
      <c r="H56" s="304">
        <f>Arkusz1!G41</f>
        <v>10456</v>
      </c>
      <c r="I56" s="228">
        <f>Arkusz1!H41</f>
        <v>0</v>
      </c>
      <c r="J56" s="228">
        <f>Arkusz1!I41</f>
        <v>0</v>
      </c>
      <c r="K56" s="228">
        <f>Arkusz1!J41</f>
        <v>0</v>
      </c>
      <c r="L56" s="228">
        <f>Arkusz1!K41</f>
        <v>0</v>
      </c>
      <c r="M56" s="228">
        <f>Arkusz1!L41</f>
        <v>0</v>
      </c>
      <c r="N56" s="228">
        <f>Arkusz1!M41</f>
        <v>0</v>
      </c>
      <c r="O56" s="228">
        <f>Arkusz1!N41</f>
        <v>0</v>
      </c>
      <c r="P56" s="228">
        <f>Arkusz1!O41</f>
        <v>0</v>
      </c>
      <c r="Q56" s="228">
        <f>Arkusz1!P41</f>
        <v>0</v>
      </c>
      <c r="R56" s="228">
        <f>Arkusz1!Q41</f>
        <v>0</v>
      </c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</row>
    <row r="57" spans="1:33" ht="25.5" customHeight="1" thickBot="1">
      <c r="A57" s="210" t="s">
        <v>26</v>
      </c>
      <c r="B57" s="262" t="s">
        <v>273</v>
      </c>
      <c r="C57" s="262"/>
      <c r="D57" s="262"/>
      <c r="E57" s="254" t="s">
        <v>277</v>
      </c>
      <c r="F57" s="256" t="s">
        <v>280</v>
      </c>
      <c r="G57" s="254" t="s">
        <v>277</v>
      </c>
      <c r="H57" s="254" t="s">
        <v>278</v>
      </c>
      <c r="I57" s="254" t="s">
        <v>278</v>
      </c>
      <c r="J57" s="254" t="s">
        <v>278</v>
      </c>
      <c r="K57" s="254" t="s">
        <v>278</v>
      </c>
      <c r="L57" s="254" t="s">
        <v>278</v>
      </c>
      <c r="M57" s="254" t="s">
        <v>278</v>
      </c>
      <c r="N57" s="254" t="s">
        <v>278</v>
      </c>
      <c r="O57" s="254" t="s">
        <v>278</v>
      </c>
      <c r="P57" s="254" t="s">
        <v>278</v>
      </c>
      <c r="Q57" s="254" t="s">
        <v>278</v>
      </c>
      <c r="R57" s="254" t="s">
        <v>277</v>
      </c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6"/>
    </row>
    <row r="58" spans="1:33" ht="21" customHeight="1">
      <c r="A58" s="211">
        <v>17</v>
      </c>
      <c r="B58" s="212" t="s">
        <v>274</v>
      </c>
      <c r="C58" s="213"/>
      <c r="D58" s="214"/>
      <c r="E58" s="247">
        <v>0</v>
      </c>
      <c r="F58" s="247">
        <v>0</v>
      </c>
      <c r="G58" s="247">
        <v>0</v>
      </c>
      <c r="H58" s="247">
        <v>0</v>
      </c>
      <c r="I58" s="247">
        <v>0</v>
      </c>
      <c r="J58" s="247">
        <v>0</v>
      </c>
      <c r="K58" s="247">
        <v>0</v>
      </c>
      <c r="L58" s="247">
        <v>0</v>
      </c>
      <c r="M58" s="247">
        <v>0</v>
      </c>
      <c r="N58" s="247">
        <v>0</v>
      </c>
      <c r="O58" s="247">
        <v>0</v>
      </c>
      <c r="P58" s="247">
        <v>0</v>
      </c>
      <c r="Q58" s="247">
        <v>0</v>
      </c>
      <c r="R58" s="247">
        <v>0</v>
      </c>
      <c r="S58" s="247">
        <v>0</v>
      </c>
      <c r="T58" s="247">
        <v>0</v>
      </c>
      <c r="U58" s="247">
        <v>0</v>
      </c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8"/>
    </row>
    <row r="59" spans="1:33" ht="21" customHeight="1" thickBot="1">
      <c r="A59" s="215"/>
      <c r="B59" s="216"/>
      <c r="C59" s="263" t="s">
        <v>275</v>
      </c>
      <c r="D59" s="264"/>
      <c r="E59" s="249">
        <v>0</v>
      </c>
      <c r="F59" s="249">
        <v>0</v>
      </c>
      <c r="G59" s="249">
        <v>0</v>
      </c>
      <c r="H59" s="249">
        <v>0</v>
      </c>
      <c r="I59" s="249">
        <v>0</v>
      </c>
      <c r="J59" s="249">
        <v>0</v>
      </c>
      <c r="K59" s="249">
        <v>0</v>
      </c>
      <c r="L59" s="249">
        <v>0</v>
      </c>
      <c r="M59" s="249">
        <v>0</v>
      </c>
      <c r="N59" s="249">
        <v>0</v>
      </c>
      <c r="O59" s="249">
        <v>0</v>
      </c>
      <c r="P59" s="249">
        <v>0</v>
      </c>
      <c r="Q59" s="249">
        <v>0</v>
      </c>
      <c r="R59" s="249">
        <v>0</v>
      </c>
      <c r="S59" s="249">
        <v>0</v>
      </c>
      <c r="T59" s="249">
        <v>0</v>
      </c>
      <c r="U59" s="249">
        <v>0</v>
      </c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50"/>
    </row>
    <row r="60" spans="1:33">
      <c r="A60" s="217"/>
      <c r="B60" s="218"/>
      <c r="C60" s="218"/>
      <c r="D60" s="219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</row>
    <row r="61" spans="1:33">
      <c r="A61" s="217"/>
      <c r="B61" s="218"/>
      <c r="C61" s="218"/>
      <c r="D61" s="221" t="s">
        <v>276</v>
      </c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</row>
    <row r="62" spans="1:33">
      <c r="A62" s="222"/>
      <c r="B62" s="223"/>
      <c r="C62" s="223"/>
      <c r="D62" s="224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</row>
    <row r="63" spans="1:33">
      <c r="A63" s="222"/>
      <c r="B63" s="223"/>
      <c r="C63" s="223"/>
      <c r="D63" s="224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</row>
  </sheetData>
  <mergeCells count="28">
    <mergeCell ref="O1:R1"/>
    <mergeCell ref="D2:R2"/>
    <mergeCell ref="C9:D9"/>
    <mergeCell ref="A1:D1"/>
    <mergeCell ref="C6:D6"/>
    <mergeCell ref="C7:D7"/>
    <mergeCell ref="B47:D47"/>
    <mergeCell ref="C10:D10"/>
    <mergeCell ref="C29:D29"/>
    <mergeCell ref="C36:D36"/>
    <mergeCell ref="C37:D37"/>
    <mergeCell ref="C40:D40"/>
    <mergeCell ref="B41:D41"/>
    <mergeCell ref="B42:D42"/>
    <mergeCell ref="B43:D43"/>
    <mergeCell ref="B44:D44"/>
    <mergeCell ref="B45:D45"/>
    <mergeCell ref="B46:D46"/>
    <mergeCell ref="C54:D54"/>
    <mergeCell ref="C55:D55"/>
    <mergeCell ref="B57:D57"/>
    <mergeCell ref="C59:D59"/>
    <mergeCell ref="B48:D48"/>
    <mergeCell ref="B49:D49"/>
    <mergeCell ref="B50:D50"/>
    <mergeCell ref="B51:D51"/>
    <mergeCell ref="B52:D52"/>
    <mergeCell ref="C53:D53"/>
  </mergeCells>
  <pageMargins left="0.35433070866141736" right="0.70866141732283472" top="0.35433070866141736" bottom="0.31496062992125984" header="0.31496062992125984" footer="0.31496062992125984"/>
  <pageSetup paperSize="287" scale="56" fitToHeight="2" orientation="landscape" horizontalDpi="4294967293" r:id="rId1"/>
  <rowBreaks count="1" manualBreakCount="1">
    <brk id="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view="pageBreakPreview" topLeftCell="A40" zoomScaleNormal="100" zoomScaleSheetLayoutView="100" workbookViewId="0">
      <selection activeCell="E43" sqref="E43"/>
    </sheetView>
  </sheetViews>
  <sheetFormatPr defaultRowHeight="14.25"/>
  <cols>
    <col min="1" max="1" width="5.5" style="1" customWidth="1"/>
    <col min="2" max="2" width="50.75" customWidth="1"/>
    <col min="3" max="14" width="12.625" customWidth="1"/>
    <col min="15" max="15" width="12.5" customWidth="1"/>
    <col min="16" max="16" width="10.375" customWidth="1"/>
    <col min="17" max="17" width="12.75" customWidth="1"/>
  </cols>
  <sheetData>
    <row r="1" spans="1:17" ht="46.5" customHeight="1">
      <c r="B1" s="4"/>
      <c r="K1" s="287" t="s">
        <v>216</v>
      </c>
      <c r="L1" s="287"/>
    </row>
    <row r="2" spans="1:17" ht="30.75" customHeight="1">
      <c r="A2" s="280" t="s">
        <v>131</v>
      </c>
      <c r="B2" s="280"/>
      <c r="C2" s="280"/>
      <c r="D2" s="280"/>
      <c r="E2" s="281"/>
      <c r="F2" s="281"/>
      <c r="G2" s="281"/>
      <c r="H2" s="281"/>
      <c r="I2" s="281"/>
      <c r="J2" s="281"/>
      <c r="K2" s="281"/>
      <c r="L2" s="281"/>
      <c r="M2" s="281"/>
    </row>
    <row r="3" spans="1:17" ht="14.25" customHeight="1">
      <c r="A3" s="43"/>
      <c r="B3" s="43"/>
      <c r="C3" s="43"/>
      <c r="D3" s="43">
        <f>(D10-C10)/C10</f>
        <v>9.4919736172672367E-2</v>
      </c>
      <c r="E3" s="255">
        <f t="shared" ref="E3:H3" si="0">(E10-D10)/D10</f>
        <v>-7.3127321968323722E-2</v>
      </c>
      <c r="F3" s="255">
        <f t="shared" si="0"/>
        <v>9.999999999999995E-3</v>
      </c>
      <c r="G3" s="255">
        <f t="shared" si="0"/>
        <v>3.0000000000000044E-2</v>
      </c>
      <c r="H3" s="255">
        <f t="shared" si="0"/>
        <v>3.0000000000000075E-2</v>
      </c>
    </row>
    <row r="4" spans="1:17">
      <c r="D4" s="45">
        <f>(D7-C7)/C7</f>
        <v>8.0445459324227656E-2</v>
      </c>
      <c r="E4" s="45">
        <f t="shared" ref="E4:I4" si="1">(E7-D7)/D7</f>
        <v>5.4928107690468166E-2</v>
      </c>
      <c r="F4" s="45">
        <f t="shared" si="1"/>
        <v>1.6116901395981753E-3</v>
      </c>
      <c r="G4" s="45">
        <f t="shared" si="1"/>
        <v>0.03</v>
      </c>
      <c r="H4" s="45">
        <f t="shared" si="1"/>
        <v>0.03</v>
      </c>
      <c r="I4" s="45">
        <f t="shared" si="1"/>
        <v>0.03</v>
      </c>
    </row>
    <row r="5" spans="1:17">
      <c r="A5" s="5" t="s">
        <v>82</v>
      </c>
      <c r="B5" s="5" t="s">
        <v>81</v>
      </c>
      <c r="C5" s="6" t="s">
        <v>83</v>
      </c>
      <c r="D5" s="5" t="s">
        <v>84</v>
      </c>
      <c r="E5" s="5" t="s">
        <v>85</v>
      </c>
      <c r="F5" s="6" t="s">
        <v>86</v>
      </c>
      <c r="G5" s="5" t="s">
        <v>117</v>
      </c>
      <c r="H5" s="5" t="s">
        <v>118</v>
      </c>
      <c r="I5" s="5" t="s">
        <v>119</v>
      </c>
      <c r="J5" s="5" t="s">
        <v>120</v>
      </c>
      <c r="K5" s="5" t="s">
        <v>121</v>
      </c>
      <c r="L5" s="5" t="s">
        <v>122</v>
      </c>
      <c r="M5" s="5" t="s">
        <v>123</v>
      </c>
      <c r="N5" s="5" t="s">
        <v>129</v>
      </c>
      <c r="O5" s="5" t="s">
        <v>130</v>
      </c>
      <c r="P5" s="5" t="s">
        <v>218</v>
      </c>
      <c r="Q5" s="5" t="s">
        <v>219</v>
      </c>
    </row>
    <row r="6" spans="1:17" s="2" customFormat="1">
      <c r="A6" s="7" t="s">
        <v>36</v>
      </c>
      <c r="B6" s="8" t="s">
        <v>89</v>
      </c>
      <c r="C6" s="153">
        <f>SUM(C7:C8)</f>
        <v>15867487</v>
      </c>
      <c r="D6" s="25">
        <f t="shared" ref="D6:G6" si="2">SUM(D7:D8)</f>
        <v>16959423</v>
      </c>
      <c r="E6" s="25">
        <f t="shared" si="2"/>
        <v>20223059</v>
      </c>
      <c r="F6" s="25">
        <f t="shared" si="2"/>
        <v>17108000</v>
      </c>
      <c r="G6" s="25">
        <f t="shared" si="2"/>
        <v>16265000</v>
      </c>
      <c r="H6" s="25">
        <f t="shared" ref="H6:M6" si="3">SUM(H7:H8)</f>
        <v>16743950</v>
      </c>
      <c r="I6" s="25">
        <f t="shared" si="3"/>
        <v>17237268.5</v>
      </c>
      <c r="J6" s="25">
        <f t="shared" si="3"/>
        <v>17745386.555</v>
      </c>
      <c r="K6" s="25">
        <f t="shared" si="3"/>
        <v>18268748.15165</v>
      </c>
      <c r="L6" s="25">
        <f t="shared" si="3"/>
        <v>18807810.596199501</v>
      </c>
      <c r="M6" s="25">
        <f t="shared" si="3"/>
        <v>19363044.914085485</v>
      </c>
      <c r="N6" s="25">
        <f t="shared" ref="N6:O6" si="4">SUM(N7:N8)</f>
        <v>19934936.261508051</v>
      </c>
      <c r="O6" s="25">
        <f t="shared" si="4"/>
        <v>20523984.349353295</v>
      </c>
      <c r="P6" s="25">
        <f t="shared" ref="P6:Q6" si="5">SUM(P7:P8)</f>
        <v>21130703.879833896</v>
      </c>
      <c r="Q6" s="25">
        <f t="shared" si="5"/>
        <v>21755624.996228915</v>
      </c>
    </row>
    <row r="7" spans="1:17" s="2" customFormat="1">
      <c r="A7" s="9" t="s">
        <v>18</v>
      </c>
      <c r="B7" s="10" t="s">
        <v>13</v>
      </c>
      <c r="C7" s="153">
        <v>13577087</v>
      </c>
      <c r="D7" s="25">
        <v>14669302</v>
      </c>
      <c r="E7" s="25">
        <v>15475059</v>
      </c>
      <c r="F7" s="25">
        <f>15500000</f>
        <v>15500000</v>
      </c>
      <c r="G7" s="25">
        <f>F7*1.03</f>
        <v>15965000</v>
      </c>
      <c r="H7" s="25">
        <f t="shared" ref="H7:O7" si="6">G7*1.03</f>
        <v>16443950</v>
      </c>
      <c r="I7" s="25">
        <f t="shared" si="6"/>
        <v>16937268.5</v>
      </c>
      <c r="J7" s="25">
        <f t="shared" si="6"/>
        <v>17445386.555</v>
      </c>
      <c r="K7" s="25">
        <f t="shared" si="6"/>
        <v>17968748.15165</v>
      </c>
      <c r="L7" s="25">
        <f t="shared" si="6"/>
        <v>18507810.596199501</v>
      </c>
      <c r="M7" s="25">
        <f t="shared" si="6"/>
        <v>19063044.914085485</v>
      </c>
      <c r="N7" s="25">
        <f t="shared" si="6"/>
        <v>19634936.261508051</v>
      </c>
      <c r="O7" s="25">
        <f t="shared" si="6"/>
        <v>20223984.349353295</v>
      </c>
      <c r="P7" s="25">
        <f t="shared" ref="P7" si="7">O7*1.03</f>
        <v>20830703.879833896</v>
      </c>
      <c r="Q7" s="25">
        <f t="shared" ref="Q7" si="8">P7*1.03</f>
        <v>21455624.996228915</v>
      </c>
    </row>
    <row r="8" spans="1:17" s="2" customFormat="1">
      <c r="A8" s="9" t="s">
        <v>19</v>
      </c>
      <c r="B8" s="11" t="s">
        <v>14</v>
      </c>
      <c r="C8" s="26">
        <v>2290400</v>
      </c>
      <c r="D8" s="26">
        <v>2290121</v>
      </c>
      <c r="E8" s="26">
        <v>4748000</v>
      </c>
      <c r="F8" s="26">
        <v>1608000</v>
      </c>
      <c r="G8" s="26">
        <v>300000</v>
      </c>
      <c r="H8" s="26">
        <v>300000</v>
      </c>
      <c r="I8" s="26">
        <v>300000</v>
      </c>
      <c r="J8" s="26">
        <v>300000</v>
      </c>
      <c r="K8" s="26">
        <v>300000</v>
      </c>
      <c r="L8" s="26">
        <v>300000</v>
      </c>
      <c r="M8" s="26">
        <v>300000</v>
      </c>
      <c r="N8" s="26">
        <v>300000</v>
      </c>
      <c r="O8" s="26">
        <v>300000</v>
      </c>
      <c r="P8" s="26">
        <v>300000</v>
      </c>
      <c r="Q8" s="26">
        <v>300000</v>
      </c>
    </row>
    <row r="9" spans="1:17" s="2" customFormat="1">
      <c r="A9" s="9"/>
      <c r="B9" s="11" t="s">
        <v>87</v>
      </c>
      <c r="C9" s="25">
        <v>190000</v>
      </c>
      <c r="D9" s="25">
        <v>260000</v>
      </c>
      <c r="E9" s="25">
        <v>422000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5">
        <v>300000</v>
      </c>
      <c r="M9" s="25">
        <v>300000</v>
      </c>
      <c r="N9" s="25">
        <v>300000</v>
      </c>
      <c r="O9" s="25">
        <v>300000</v>
      </c>
      <c r="P9" s="25">
        <v>300000</v>
      </c>
      <c r="Q9" s="25">
        <v>300000</v>
      </c>
    </row>
    <row r="10" spans="1:17" s="2" customFormat="1" ht="51" customHeight="1">
      <c r="A10" s="7" t="s">
        <v>37</v>
      </c>
      <c r="B10" s="8" t="s">
        <v>105</v>
      </c>
      <c r="C10" s="153">
        <v>13193157.93</v>
      </c>
      <c r="D10" s="25">
        <v>14445449</v>
      </c>
      <c r="E10" s="25">
        <v>13389092</v>
      </c>
      <c r="F10" s="25">
        <f>E10*1.01</f>
        <v>13522982.92</v>
      </c>
      <c r="G10" s="25">
        <f t="shared" ref="G10:O10" si="9">F10*1.03</f>
        <v>13928672.407600001</v>
      </c>
      <c r="H10" s="25">
        <f t="shared" si="9"/>
        <v>14346532.579828002</v>
      </c>
      <c r="I10" s="25">
        <f t="shared" si="9"/>
        <v>14776928.557222841</v>
      </c>
      <c r="J10" s="25">
        <f t="shared" si="9"/>
        <v>15220236.413939526</v>
      </c>
      <c r="K10" s="25">
        <f t="shared" si="9"/>
        <v>15676843.506357713</v>
      </c>
      <c r="L10" s="25">
        <f t="shared" si="9"/>
        <v>16147148.811548445</v>
      </c>
      <c r="M10" s="25">
        <f t="shared" si="9"/>
        <v>16631563.275894899</v>
      </c>
      <c r="N10" s="25">
        <f t="shared" si="9"/>
        <v>17130510.174171746</v>
      </c>
      <c r="O10" s="25">
        <f t="shared" si="9"/>
        <v>17644425.479396898</v>
      </c>
      <c r="P10" s="25">
        <f t="shared" ref="P10:P12" si="10">O10*1.03</f>
        <v>18173758.243778806</v>
      </c>
      <c r="Q10" s="25">
        <f t="shared" ref="Q10:Q12" si="11">P10*1.03</f>
        <v>18718970.991092172</v>
      </c>
    </row>
    <row r="11" spans="1:17" s="2" customFormat="1">
      <c r="A11" s="9" t="s">
        <v>18</v>
      </c>
      <c r="B11" s="11" t="s">
        <v>90</v>
      </c>
      <c r="C11" s="26">
        <v>5961533.4199999999</v>
      </c>
      <c r="D11" s="26">
        <v>6496980</v>
      </c>
      <c r="E11" s="26">
        <f>D11*1.01</f>
        <v>6561949.7999999998</v>
      </c>
      <c r="F11" s="26">
        <f t="shared" ref="F11:O11" si="12">E11*1.03</f>
        <v>6758808.2939999998</v>
      </c>
      <c r="G11" s="26">
        <f t="shared" si="12"/>
        <v>6961572.5428200001</v>
      </c>
      <c r="H11" s="26">
        <f t="shared" si="12"/>
        <v>7170419.7191046001</v>
      </c>
      <c r="I11" s="26">
        <f t="shared" si="12"/>
        <v>7385532.3106777379</v>
      </c>
      <c r="J11" s="26">
        <f t="shared" si="12"/>
        <v>7607098.2799980706</v>
      </c>
      <c r="K11" s="26">
        <f t="shared" si="12"/>
        <v>7835311.2283980129</v>
      </c>
      <c r="L11" s="26">
        <f t="shared" si="12"/>
        <v>8070370.5652499534</v>
      </c>
      <c r="M11" s="26">
        <f t="shared" si="12"/>
        <v>8312481.6822074521</v>
      </c>
      <c r="N11" s="26">
        <f t="shared" si="12"/>
        <v>8561856.1326736752</v>
      </c>
      <c r="O11" s="26">
        <f t="shared" si="12"/>
        <v>8818711.8166538849</v>
      </c>
      <c r="P11" s="26">
        <f t="shared" si="10"/>
        <v>9083273.1711535025</v>
      </c>
      <c r="Q11" s="26">
        <f t="shared" si="11"/>
        <v>9355771.3662881088</v>
      </c>
    </row>
    <row r="12" spans="1:17" s="2" customFormat="1">
      <c r="A12" s="9" t="s">
        <v>19</v>
      </c>
      <c r="B12" s="11" t="s">
        <v>91</v>
      </c>
      <c r="C12" s="26">
        <v>2246601</v>
      </c>
      <c r="D12" s="26">
        <f>2636145</f>
        <v>2636145</v>
      </c>
      <c r="E12" s="26">
        <f>D12*1.01</f>
        <v>2662506.4500000002</v>
      </c>
      <c r="F12" s="26">
        <f t="shared" ref="F12:O12" si="13">E12*1.03</f>
        <v>2742381.6435000002</v>
      </c>
      <c r="G12" s="26">
        <f t="shared" si="13"/>
        <v>2824653.0928050005</v>
      </c>
      <c r="H12" s="26">
        <f t="shared" si="13"/>
        <v>2909392.6855891505</v>
      </c>
      <c r="I12" s="26">
        <f t="shared" si="13"/>
        <v>2996674.466156825</v>
      </c>
      <c r="J12" s="26">
        <f t="shared" si="13"/>
        <v>3086574.70014153</v>
      </c>
      <c r="K12" s="26">
        <f t="shared" si="13"/>
        <v>3179171.9411457758</v>
      </c>
      <c r="L12" s="26">
        <f t="shared" si="13"/>
        <v>3274547.099380149</v>
      </c>
      <c r="M12" s="26">
        <f t="shared" si="13"/>
        <v>3372783.5123615535</v>
      </c>
      <c r="N12" s="26">
        <f t="shared" si="13"/>
        <v>3473967.0177324</v>
      </c>
      <c r="O12" s="26">
        <f t="shared" si="13"/>
        <v>3578186.0282643721</v>
      </c>
      <c r="P12" s="26">
        <f t="shared" si="10"/>
        <v>3685531.6091123032</v>
      </c>
      <c r="Q12" s="26">
        <f t="shared" si="11"/>
        <v>3796097.5573856723</v>
      </c>
    </row>
    <row r="13" spans="1:17" s="2" customFormat="1">
      <c r="A13" s="9" t="s">
        <v>20</v>
      </c>
      <c r="B13" s="11" t="s">
        <v>15</v>
      </c>
      <c r="C13" s="25">
        <f>'[1]2'!$L$444</f>
        <v>0</v>
      </c>
      <c r="D13" s="25">
        <f>'[1]2'!$L$444</f>
        <v>0</v>
      </c>
      <c r="E13" s="25">
        <f>'[1]2'!$L$444</f>
        <v>0</v>
      </c>
      <c r="F13" s="25">
        <f>'[1]2'!$L$444</f>
        <v>0</v>
      </c>
      <c r="G13" s="25">
        <f>'[1]2'!$L$444</f>
        <v>0</v>
      </c>
      <c r="H13" s="25">
        <f>'[1]2'!$L$444</f>
        <v>0</v>
      </c>
      <c r="I13" s="25">
        <f>'[1]2'!$L$444</f>
        <v>0</v>
      </c>
      <c r="J13" s="25">
        <f>'[1]2'!$L$444</f>
        <v>0</v>
      </c>
      <c r="K13" s="25">
        <f>'[1]2'!$L$444</f>
        <v>0</v>
      </c>
      <c r="L13" s="25">
        <f>'[1]2'!$L$444</f>
        <v>0</v>
      </c>
      <c r="M13" s="25">
        <f>'[1]2'!$L$444</f>
        <v>0</v>
      </c>
      <c r="N13" s="25">
        <f>'[1]2'!$L$444</f>
        <v>0</v>
      </c>
      <c r="O13" s="25">
        <f>'[1]2'!$L$444</f>
        <v>0</v>
      </c>
      <c r="P13" s="25">
        <f>'[1]2'!$L$444</f>
        <v>0</v>
      </c>
      <c r="Q13" s="25">
        <f>'[1]2'!$L$444</f>
        <v>0</v>
      </c>
    </row>
    <row r="14" spans="1:17" s="2" customFormat="1" ht="25.5">
      <c r="A14" s="9"/>
      <c r="B14" s="11" t="s">
        <v>88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17" s="2" customFormat="1">
      <c r="A15" s="9" t="s">
        <v>103</v>
      </c>
      <c r="B15" s="11" t="s">
        <v>104</v>
      </c>
      <c r="C15" s="26">
        <v>765372.88</v>
      </c>
      <c r="D15" s="26">
        <v>836343</v>
      </c>
      <c r="E15" s="26">
        <v>544469</v>
      </c>
      <c r="F15" s="26">
        <v>129080</v>
      </c>
      <c r="G15" s="26">
        <v>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s="2" customFormat="1" ht="25.5">
      <c r="A16" s="7" t="s">
        <v>38</v>
      </c>
      <c r="B16" s="18" t="s">
        <v>0</v>
      </c>
      <c r="C16" s="27">
        <f>C6-C10</f>
        <v>2674329.0700000003</v>
      </c>
      <c r="D16" s="27">
        <f t="shared" ref="D16:G16" si="14">D6-D10</f>
        <v>2513974</v>
      </c>
      <c r="E16" s="27">
        <f t="shared" si="14"/>
        <v>6833967</v>
      </c>
      <c r="F16" s="27">
        <f t="shared" si="14"/>
        <v>3585017.08</v>
      </c>
      <c r="G16" s="27">
        <f t="shared" si="14"/>
        <v>2336327.5923999995</v>
      </c>
      <c r="H16" s="27">
        <f t="shared" ref="H16:M16" si="15">H6-H10</f>
        <v>2397417.4201719984</v>
      </c>
      <c r="I16" s="27">
        <f t="shared" si="15"/>
        <v>2460339.9427771587</v>
      </c>
      <c r="J16" s="27">
        <f t="shared" si="15"/>
        <v>2525150.1410604734</v>
      </c>
      <c r="K16" s="27">
        <f t="shared" si="15"/>
        <v>2591904.6452922877</v>
      </c>
      <c r="L16" s="27">
        <f t="shared" si="15"/>
        <v>2660661.7846510559</v>
      </c>
      <c r="M16" s="27">
        <f t="shared" si="15"/>
        <v>2731481.6381905861</v>
      </c>
      <c r="N16" s="27">
        <f t="shared" ref="N16:O16" si="16">N6-N10</f>
        <v>2804426.0873363055</v>
      </c>
      <c r="O16" s="27">
        <f t="shared" si="16"/>
        <v>2879558.8699563965</v>
      </c>
      <c r="P16" s="27">
        <f t="shared" ref="P16:Q16" si="17">P6-P10</f>
        <v>2956945.6360550895</v>
      </c>
      <c r="Q16" s="27">
        <f t="shared" si="17"/>
        <v>3036654.0051367432</v>
      </c>
    </row>
    <row r="17" spans="1:17" s="2" customFormat="1" ht="25.5">
      <c r="A17" s="7" t="s">
        <v>39</v>
      </c>
      <c r="B17" s="18" t="s">
        <v>1</v>
      </c>
      <c r="C17" s="27">
        <v>3139378</v>
      </c>
      <c r="D17" s="27">
        <v>455267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s="2" customFormat="1" ht="38.25">
      <c r="A18" s="9"/>
      <c r="B18" s="11" t="s">
        <v>106</v>
      </c>
      <c r="C18" s="26">
        <v>3139378</v>
      </c>
      <c r="D18" s="26">
        <v>455267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s="2" customFormat="1" ht="15" thickBot="1">
      <c r="A19" s="7" t="s">
        <v>34</v>
      </c>
      <c r="B19" s="22" t="s">
        <v>92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</row>
    <row r="20" spans="1:17" s="2" customFormat="1" ht="30" customHeight="1" thickBot="1">
      <c r="A20" s="19" t="s">
        <v>35</v>
      </c>
      <c r="B20" s="21" t="s">
        <v>109</v>
      </c>
      <c r="C20" s="29">
        <f>SUM(C16:C17,C19)</f>
        <v>5813707.0700000003</v>
      </c>
      <c r="D20" s="29">
        <f t="shared" ref="D20:G20" si="18">SUM(D16:D17,D19)</f>
        <v>2969241</v>
      </c>
      <c r="E20" s="29">
        <f t="shared" si="18"/>
        <v>6833967</v>
      </c>
      <c r="F20" s="29">
        <f t="shared" si="18"/>
        <v>3585017.08</v>
      </c>
      <c r="G20" s="29">
        <f t="shared" si="18"/>
        <v>2336327.5923999995</v>
      </c>
      <c r="H20" s="29">
        <f t="shared" ref="H20:M20" si="19">SUM(H16:H17,H19)</f>
        <v>2397417.4201719984</v>
      </c>
      <c r="I20" s="29">
        <f t="shared" si="19"/>
        <v>2460339.9427771587</v>
      </c>
      <c r="J20" s="29">
        <f t="shared" si="19"/>
        <v>2525150.1410604734</v>
      </c>
      <c r="K20" s="29">
        <f t="shared" si="19"/>
        <v>2591904.6452922877</v>
      </c>
      <c r="L20" s="29">
        <f t="shared" si="19"/>
        <v>2660661.7846510559</v>
      </c>
      <c r="M20" s="29">
        <f t="shared" si="19"/>
        <v>2731481.6381905861</v>
      </c>
      <c r="N20" s="29">
        <f t="shared" ref="N20:O20" si="20">SUM(N16:N17,N19)</f>
        <v>2804426.0873363055</v>
      </c>
      <c r="O20" s="29">
        <f t="shared" si="20"/>
        <v>2879558.8699563965</v>
      </c>
      <c r="P20" s="29">
        <f t="shared" ref="P20:Q20" si="21">SUM(P16:P17,P19)</f>
        <v>2956945.6360550895</v>
      </c>
      <c r="Q20" s="29">
        <f t="shared" si="21"/>
        <v>3036654.0051367432</v>
      </c>
    </row>
    <row r="21" spans="1:17" s="2" customFormat="1">
      <c r="A21" s="7" t="s">
        <v>40</v>
      </c>
      <c r="B21" s="20" t="s">
        <v>2</v>
      </c>
      <c r="C21" s="27">
        <f t="shared" ref="C21:N21" si="22">SUM(C22,C30)</f>
        <v>3347500</v>
      </c>
      <c r="D21" s="27">
        <f t="shared" si="22"/>
        <v>1431892</v>
      </c>
      <c r="E21" s="27">
        <f t="shared" si="22"/>
        <v>5144039.1500000004</v>
      </c>
      <c r="F21" s="27">
        <f t="shared" si="22"/>
        <v>415000</v>
      </c>
      <c r="G21" s="27">
        <f t="shared" si="22"/>
        <v>661699.15</v>
      </c>
      <c r="H21" s="27">
        <f t="shared" si="22"/>
        <v>951699.15</v>
      </c>
      <c r="I21" s="27">
        <f t="shared" si="22"/>
        <v>1126699.1499999999</v>
      </c>
      <c r="J21" s="27">
        <f t="shared" si="22"/>
        <v>1091699.1499999999</v>
      </c>
      <c r="K21" s="27">
        <f t="shared" si="22"/>
        <v>1556699.15</v>
      </c>
      <c r="L21" s="27">
        <f t="shared" si="22"/>
        <v>1696699.15</v>
      </c>
      <c r="M21" s="27">
        <f t="shared" si="22"/>
        <v>1426699.15</v>
      </c>
      <c r="N21" s="27">
        <f t="shared" si="22"/>
        <v>1396699.15</v>
      </c>
      <c r="O21" s="27">
        <f t="shared" ref="O21:Q21" si="23">SUM(O22,O30)</f>
        <v>1205199.1499999999</v>
      </c>
      <c r="P21" s="27">
        <f t="shared" si="23"/>
        <v>1054182</v>
      </c>
      <c r="Q21" s="27">
        <f t="shared" si="23"/>
        <v>0</v>
      </c>
    </row>
    <row r="22" spans="1:17" s="2" customFormat="1" ht="25.5">
      <c r="A22" s="9" t="s">
        <v>18</v>
      </c>
      <c r="B22" s="11" t="s">
        <v>61</v>
      </c>
      <c r="C22" s="25">
        <f t="shared" ref="C22:N22" si="24">SUM(C23:C29)</f>
        <v>2899000</v>
      </c>
      <c r="D22" s="25">
        <f t="shared" si="24"/>
        <v>752772</v>
      </c>
      <c r="E22" s="25">
        <f t="shared" si="24"/>
        <v>4425325</v>
      </c>
      <c r="F22" s="25">
        <f t="shared" si="24"/>
        <v>0</v>
      </c>
      <c r="G22" s="25">
        <f t="shared" si="24"/>
        <v>200000</v>
      </c>
      <c r="H22" s="25">
        <f t="shared" si="24"/>
        <v>500000</v>
      </c>
      <c r="I22" s="25">
        <f t="shared" si="24"/>
        <v>700000</v>
      </c>
      <c r="J22" s="25">
        <f t="shared" si="24"/>
        <v>700000</v>
      </c>
      <c r="K22" s="25">
        <f t="shared" si="24"/>
        <v>1200000</v>
      </c>
      <c r="L22" s="25">
        <f t="shared" si="24"/>
        <v>1400000</v>
      </c>
      <c r="M22" s="25">
        <f t="shared" si="24"/>
        <v>1200000</v>
      </c>
      <c r="N22" s="25">
        <f t="shared" si="24"/>
        <v>1230000</v>
      </c>
      <c r="O22" s="25">
        <f t="shared" ref="O22:Q22" si="25">SUM(O23:O29)</f>
        <v>1100000</v>
      </c>
      <c r="P22" s="25">
        <f t="shared" si="25"/>
        <v>1003983</v>
      </c>
      <c r="Q22" s="25">
        <f t="shared" si="25"/>
        <v>0</v>
      </c>
    </row>
    <row r="23" spans="1:17" s="37" customFormat="1" ht="11.25">
      <c r="A23" s="34"/>
      <c r="B23" s="35" t="s">
        <v>111</v>
      </c>
      <c r="C23" s="36">
        <v>84000</v>
      </c>
      <c r="D23" s="36">
        <v>34772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37" customFormat="1" ht="11.25">
      <c r="A24" s="38"/>
      <c r="B24" s="35" t="s">
        <v>112</v>
      </c>
      <c r="C24" s="36">
        <v>185000</v>
      </c>
      <c r="D24" s="36">
        <v>218000</v>
      </c>
      <c r="E24" s="36">
        <v>80325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37" customFormat="1" ht="11.25">
      <c r="A25" s="38"/>
      <c r="B25" s="35" t="s">
        <v>113</v>
      </c>
      <c r="C25" s="36">
        <v>400000</v>
      </c>
      <c r="D25" s="36">
        <v>200000</v>
      </c>
      <c r="E25" s="36">
        <v>400000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s="37" customFormat="1" ht="11.25">
      <c r="A26" s="38"/>
      <c r="B26" s="35" t="s">
        <v>114</v>
      </c>
      <c r="C26" s="36">
        <v>1000000</v>
      </c>
      <c r="D26" s="36">
        <v>300000</v>
      </c>
      <c r="E26" s="36">
        <v>690000</v>
      </c>
      <c r="F26" s="36">
        <v>0</v>
      </c>
      <c r="G26" s="36">
        <v>0</v>
      </c>
      <c r="H26" s="36">
        <v>0</v>
      </c>
      <c r="I26" s="36">
        <v>600000</v>
      </c>
      <c r="J26" s="36">
        <v>600000</v>
      </c>
      <c r="K26" s="36">
        <v>600000</v>
      </c>
      <c r="L26" s="36">
        <v>600000</v>
      </c>
      <c r="M26" s="36">
        <v>0</v>
      </c>
      <c r="N26" s="36"/>
      <c r="O26" s="36"/>
      <c r="P26" s="36"/>
      <c r="Q26" s="36"/>
    </row>
    <row r="27" spans="1:17" s="37" customFormat="1" ht="11.25">
      <c r="A27" s="38"/>
      <c r="B27" s="35" t="s">
        <v>128</v>
      </c>
      <c r="C27" s="36">
        <v>1230000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s="37" customFormat="1" ht="11.25">
      <c r="A28" s="38"/>
      <c r="B28" s="35" t="s">
        <v>125</v>
      </c>
      <c r="C28" s="36">
        <v>0</v>
      </c>
      <c r="D28" s="36">
        <v>0</v>
      </c>
      <c r="E28" s="36">
        <f>3557000-302000</f>
        <v>3255000</v>
      </c>
      <c r="F28" s="36">
        <v>0</v>
      </c>
      <c r="G28" s="36">
        <v>100000</v>
      </c>
      <c r="H28" s="36">
        <v>400000</v>
      </c>
      <c r="I28" s="36">
        <v>0</v>
      </c>
      <c r="J28" s="36">
        <v>0</v>
      </c>
      <c r="K28" s="36">
        <v>600000</v>
      </c>
      <c r="L28" s="36">
        <v>700000</v>
      </c>
      <c r="M28" s="36">
        <v>1100000</v>
      </c>
      <c r="N28" s="36">
        <v>1130000</v>
      </c>
      <c r="O28" s="36">
        <v>527700</v>
      </c>
      <c r="P28" s="36"/>
      <c r="Q28" s="36"/>
    </row>
    <row r="29" spans="1:17" s="37" customFormat="1" ht="11.25">
      <c r="A29" s="38"/>
      <c r="B29" s="35" t="s">
        <v>126</v>
      </c>
      <c r="C29" s="36"/>
      <c r="D29" s="36"/>
      <c r="E29" s="36"/>
      <c r="F29" s="36"/>
      <c r="G29" s="36">
        <v>100000</v>
      </c>
      <c r="H29" s="36">
        <v>100000</v>
      </c>
      <c r="I29" s="36">
        <v>100000</v>
      </c>
      <c r="J29" s="36">
        <v>100000</v>
      </c>
      <c r="K29" s="36"/>
      <c r="L29" s="36">
        <v>100000</v>
      </c>
      <c r="M29" s="36">
        <v>100000</v>
      </c>
      <c r="N29" s="36">
        <v>100000</v>
      </c>
      <c r="O29" s="36">
        <v>572300</v>
      </c>
      <c r="P29" s="36">
        <v>1003983</v>
      </c>
      <c r="Q29" s="36">
        <v>0</v>
      </c>
    </row>
    <row r="30" spans="1:17" s="2" customFormat="1">
      <c r="A30" s="9" t="s">
        <v>19</v>
      </c>
      <c r="B30" s="11" t="s">
        <v>16</v>
      </c>
      <c r="C30" s="25">
        <f>SUM(C31:C37)</f>
        <v>448500</v>
      </c>
      <c r="D30" s="25">
        <f>SUM(D31:D37)</f>
        <v>679120</v>
      </c>
      <c r="E30" s="25">
        <f>SUM(E31:E37)</f>
        <v>718714.15</v>
      </c>
      <c r="F30" s="25">
        <f>SUM(F31:F37)</f>
        <v>415000</v>
      </c>
      <c r="G30" s="25">
        <f>SUM(G31:G37)</f>
        <v>461699.15</v>
      </c>
      <c r="H30" s="25">
        <f t="shared" ref="H30:M30" si="26">SUM(H31:H37)</f>
        <v>451699.15</v>
      </c>
      <c r="I30" s="25">
        <f t="shared" si="26"/>
        <v>426699.15</v>
      </c>
      <c r="J30" s="25">
        <f t="shared" si="26"/>
        <v>391699.15</v>
      </c>
      <c r="K30" s="25">
        <f t="shared" si="26"/>
        <v>356699.15</v>
      </c>
      <c r="L30" s="25">
        <f t="shared" si="26"/>
        <v>296699.15000000002</v>
      </c>
      <c r="M30" s="25">
        <f t="shared" si="26"/>
        <v>226699.15000000002</v>
      </c>
      <c r="N30" s="25">
        <f t="shared" ref="N30:O30" si="27">SUM(N31:N37)</f>
        <v>166699.15000000002</v>
      </c>
      <c r="O30" s="25">
        <f t="shared" si="27"/>
        <v>105199.15000000001</v>
      </c>
      <c r="P30" s="25">
        <f t="shared" ref="P30:Q30" si="28">SUM(P31:P37)</f>
        <v>50199</v>
      </c>
      <c r="Q30" s="25">
        <f t="shared" si="28"/>
        <v>0</v>
      </c>
    </row>
    <row r="31" spans="1:17" s="37" customFormat="1" ht="11.25">
      <c r="A31" s="34"/>
      <c r="B31" s="35" t="s">
        <v>111</v>
      </c>
      <c r="C31" s="36">
        <v>1500</v>
      </c>
      <c r="D31" s="36">
        <v>174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s="37" customFormat="1" ht="11.25">
      <c r="A32" s="39"/>
      <c r="B32" s="35" t="s">
        <v>112</v>
      </c>
      <c r="C32" s="36">
        <v>15000</v>
      </c>
      <c r="D32" s="36">
        <v>13500</v>
      </c>
      <c r="E32" s="36">
        <v>1900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37" customFormat="1" ht="11.25">
      <c r="A33" s="39"/>
      <c r="B33" s="35" t="s">
        <v>113</v>
      </c>
      <c r="C33" s="36">
        <v>63000</v>
      </c>
      <c r="D33" s="36">
        <v>26000</v>
      </c>
      <c r="E33" s="36">
        <v>12000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s="37" customFormat="1" ht="11.25">
      <c r="A34" s="38"/>
      <c r="B34" s="35" t="s">
        <v>114</v>
      </c>
      <c r="C34" s="36">
        <v>223000</v>
      </c>
      <c r="D34" s="36">
        <v>183946</v>
      </c>
      <c r="E34" s="36">
        <f>SUM(E26:$O$26)*5%</f>
        <v>154500</v>
      </c>
      <c r="F34" s="36">
        <v>100000</v>
      </c>
      <c r="G34" s="36">
        <f>SUM(G26:$O$26)*5%</f>
        <v>120000</v>
      </c>
      <c r="H34" s="36">
        <f>SUM(H26:$O$26)*5%</f>
        <v>120000</v>
      </c>
      <c r="I34" s="36">
        <f>SUM(I26:$O$26)*5%</f>
        <v>120000</v>
      </c>
      <c r="J34" s="36">
        <f>SUM(J26:$O$26)*5%</f>
        <v>90000</v>
      </c>
      <c r="K34" s="36">
        <f>SUM(K26:$O$26)*5%</f>
        <v>60000</v>
      </c>
      <c r="L34" s="36">
        <f>SUM(L26:$O$26)*5%</f>
        <v>30000</v>
      </c>
      <c r="M34" s="36">
        <f>SUM(M26:$O$26)*5%</f>
        <v>0</v>
      </c>
      <c r="N34" s="36">
        <f>SUM(N26:$O$26)*5%</f>
        <v>0</v>
      </c>
      <c r="O34" s="36">
        <f>SUM(O26:$O$26)*5%</f>
        <v>0</v>
      </c>
      <c r="P34" s="36">
        <f>SUM($O26:P$26)*5%</f>
        <v>0</v>
      </c>
      <c r="Q34" s="36">
        <f>SUM($O26:Q$26)*5%</f>
        <v>0</v>
      </c>
    </row>
    <row r="35" spans="1:17" s="37" customFormat="1" ht="11.25">
      <c r="A35" s="38"/>
      <c r="B35" s="35" t="s">
        <v>124</v>
      </c>
      <c r="C35" s="36">
        <v>121000</v>
      </c>
      <c r="D35" s="36">
        <v>445500</v>
      </c>
      <c r="E35" s="36">
        <v>436500</v>
      </c>
      <c r="F35" s="36">
        <v>225000</v>
      </c>
      <c r="G35" s="36">
        <f>SUM(G28:R$28)*5%</f>
        <v>227885</v>
      </c>
      <c r="H35" s="36">
        <f>SUM(H28:S$28)*5%</f>
        <v>222885</v>
      </c>
      <c r="I35" s="36">
        <f>SUM(I28:T$28)*5%</f>
        <v>202885</v>
      </c>
      <c r="J35" s="36">
        <f>SUM(J28:U$28)*5%</f>
        <v>202885</v>
      </c>
      <c r="K35" s="36">
        <f>SUM(K28:V$28)*5%</f>
        <v>202885</v>
      </c>
      <c r="L35" s="36">
        <f>SUM(L28:W$28)*5%</f>
        <v>172885</v>
      </c>
      <c r="M35" s="36">
        <f>SUM(M28:X$28)*5%</f>
        <v>137885</v>
      </c>
      <c r="N35" s="36">
        <f>SUM(N28:Y$28)*5%</f>
        <v>82885</v>
      </c>
      <c r="O35" s="36">
        <f>SUM(O28:Z$28)*5%</f>
        <v>26385</v>
      </c>
      <c r="P35" s="36">
        <f>SUM(P28:AA$28)*5%</f>
        <v>0</v>
      </c>
      <c r="Q35" s="36">
        <f>SUM(Q28:AB$28)*5%</f>
        <v>0</v>
      </c>
    </row>
    <row r="36" spans="1:17" s="37" customFormat="1" ht="11.25">
      <c r="A36" s="38"/>
      <c r="B36" s="35" t="s">
        <v>126</v>
      </c>
      <c r="C36" s="36"/>
      <c r="D36" s="36"/>
      <c r="E36" s="36">
        <f>SUM(E$29:P29)*5%</f>
        <v>113814.15000000001</v>
      </c>
      <c r="F36" s="36">
        <v>90000</v>
      </c>
      <c r="G36" s="36">
        <f>SUM(G$29:R29)*5%</f>
        <v>113814.15000000001</v>
      </c>
      <c r="H36" s="36">
        <f>SUM(H$29:S29)*5%</f>
        <v>108814.15000000001</v>
      </c>
      <c r="I36" s="36">
        <f>SUM(I$29:T29)*5%</f>
        <v>103814.15000000001</v>
      </c>
      <c r="J36" s="36">
        <f>SUM(J$29:U29)*5%</f>
        <v>98814.150000000009</v>
      </c>
      <c r="K36" s="36">
        <f>SUM(K$29:V29)*5%</f>
        <v>93814.150000000009</v>
      </c>
      <c r="L36" s="36">
        <f>SUM(L$29:W29)*5%</f>
        <v>93814.150000000009</v>
      </c>
      <c r="M36" s="36">
        <f>SUM(M$29:X29)*5%</f>
        <v>88814.150000000009</v>
      </c>
      <c r="N36" s="36">
        <f>SUM(N$29:Y29)*5%</f>
        <v>83814.150000000009</v>
      </c>
      <c r="O36" s="36">
        <f>SUM(O$29:Z29)*5%</f>
        <v>78814.150000000009</v>
      </c>
      <c r="P36" s="36">
        <v>50199</v>
      </c>
      <c r="Q36" s="36">
        <f>SUM(Q$29:AB29)*5%</f>
        <v>0</v>
      </c>
    </row>
    <row r="37" spans="1:17" s="37" customFormat="1" ht="11.25">
      <c r="A37" s="38"/>
      <c r="B37" s="35" t="s">
        <v>115</v>
      </c>
      <c r="C37" s="36">
        <v>25000</v>
      </c>
      <c r="D37" s="36">
        <v>10000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s="2" customFormat="1">
      <c r="A38" s="7" t="s">
        <v>41</v>
      </c>
      <c r="B38" s="18" t="s">
        <v>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1:17" s="2" customFormat="1">
      <c r="A39" s="7" t="s">
        <v>42</v>
      </c>
      <c r="B39" s="18" t="s">
        <v>4</v>
      </c>
      <c r="C39" s="30">
        <f t="shared" ref="C39:N39" si="29">C20-C21-C38</f>
        <v>2466207.0700000003</v>
      </c>
      <c r="D39" s="30">
        <f t="shared" si="29"/>
        <v>1537349</v>
      </c>
      <c r="E39" s="30">
        <f t="shared" si="29"/>
        <v>1689927.8499999996</v>
      </c>
      <c r="F39" s="30">
        <f t="shared" si="29"/>
        <v>3170017.08</v>
      </c>
      <c r="G39" s="30">
        <f t="shared" si="29"/>
        <v>1674628.4423999996</v>
      </c>
      <c r="H39" s="30">
        <f t="shared" si="29"/>
        <v>1445718.2701719985</v>
      </c>
      <c r="I39" s="30">
        <f t="shared" si="29"/>
        <v>1333640.7927771588</v>
      </c>
      <c r="J39" s="30">
        <f t="shared" si="29"/>
        <v>1433450.9910604735</v>
      </c>
      <c r="K39" s="30">
        <f t="shared" si="29"/>
        <v>1035205.4952922878</v>
      </c>
      <c r="L39" s="30">
        <f t="shared" si="29"/>
        <v>963962.63465105603</v>
      </c>
      <c r="M39" s="30">
        <f t="shared" si="29"/>
        <v>1304782.4881905862</v>
      </c>
      <c r="N39" s="30">
        <f t="shared" si="29"/>
        <v>1407726.9373363056</v>
      </c>
      <c r="O39" s="30">
        <f t="shared" ref="O39:Q39" si="30">O20-O21-O38</f>
        <v>1674359.7199563966</v>
      </c>
      <c r="P39" s="30">
        <f t="shared" si="30"/>
        <v>1902763.6360550895</v>
      </c>
      <c r="Q39" s="30">
        <f t="shared" si="30"/>
        <v>3036654.0051367432</v>
      </c>
    </row>
    <row r="40" spans="1:17" s="2" customFormat="1">
      <c r="A40" s="7" t="s">
        <v>21</v>
      </c>
      <c r="B40" s="23" t="s">
        <v>93</v>
      </c>
      <c r="C40" s="31">
        <f>10797940-884300</f>
        <v>9913640</v>
      </c>
      <c r="D40" s="31">
        <v>3813632</v>
      </c>
      <c r="E40" s="31">
        <f t="shared" ref="E40:M40" si="31">E39</f>
        <v>1689927.8499999996</v>
      </c>
      <c r="F40" s="31">
        <f t="shared" si="31"/>
        <v>3170017.08</v>
      </c>
      <c r="G40" s="31">
        <f t="shared" si="31"/>
        <v>1674628.4423999996</v>
      </c>
      <c r="H40" s="31">
        <f t="shared" si="31"/>
        <v>1445718.2701719985</v>
      </c>
      <c r="I40" s="31">
        <f t="shared" si="31"/>
        <v>1333640.7927771588</v>
      </c>
      <c r="J40" s="31">
        <f t="shared" si="31"/>
        <v>1433450.9910604735</v>
      </c>
      <c r="K40" s="31">
        <f t="shared" si="31"/>
        <v>1035205.4952922878</v>
      </c>
      <c r="L40" s="31">
        <f t="shared" si="31"/>
        <v>963962.63465105603</v>
      </c>
      <c r="M40" s="31">
        <f t="shared" si="31"/>
        <v>1304782.4881905862</v>
      </c>
      <c r="N40" s="31">
        <f t="shared" ref="N40:O40" si="32">N39</f>
        <v>1407726.9373363056</v>
      </c>
      <c r="O40" s="31">
        <f t="shared" si="32"/>
        <v>1674359.7199563966</v>
      </c>
      <c r="P40" s="31">
        <f t="shared" ref="P40:Q40" si="33">P39</f>
        <v>1902763.6360550895</v>
      </c>
      <c r="Q40" s="31">
        <f t="shared" si="33"/>
        <v>3036654.0051367432</v>
      </c>
    </row>
    <row r="41" spans="1:17" s="2" customFormat="1">
      <c r="A41" s="9" t="s">
        <v>22</v>
      </c>
      <c r="B41" s="24" t="s">
        <v>17</v>
      </c>
      <c r="C41" s="31">
        <v>8125692</v>
      </c>
      <c r="D41" s="31">
        <v>1526938</v>
      </c>
      <c r="E41" s="31">
        <v>1439667</v>
      </c>
      <c r="F41" s="31">
        <v>1755304</v>
      </c>
      <c r="G41" s="31">
        <v>10456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</row>
    <row r="42" spans="1:17" s="2" customFormat="1">
      <c r="A42" s="7" t="s">
        <v>23</v>
      </c>
      <c r="B42" s="23" t="s">
        <v>94</v>
      </c>
      <c r="C42" s="25">
        <f>8787000-884300</f>
        <v>7902700</v>
      </c>
      <c r="D42" s="25">
        <v>2276283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</row>
    <row r="43" spans="1:17" s="2" customFormat="1">
      <c r="A43" s="7" t="s">
        <v>24</v>
      </c>
      <c r="B43" s="8" t="s">
        <v>95</v>
      </c>
      <c r="C43" s="26">
        <f>C39-C40+C42</f>
        <v>455267.0700000003</v>
      </c>
      <c r="D43" s="26">
        <f t="shared" ref="D43:G43" si="34">D39-D40+D42</f>
        <v>0</v>
      </c>
      <c r="E43" s="26">
        <f t="shared" si="34"/>
        <v>0</v>
      </c>
      <c r="F43" s="26">
        <f t="shared" si="34"/>
        <v>0</v>
      </c>
      <c r="G43" s="26">
        <f t="shared" si="34"/>
        <v>0</v>
      </c>
      <c r="H43" s="26">
        <f t="shared" ref="H43:M43" si="35">H39-H40+H42</f>
        <v>0</v>
      </c>
      <c r="I43" s="26">
        <f t="shared" si="35"/>
        <v>0</v>
      </c>
      <c r="J43" s="26">
        <f t="shared" si="35"/>
        <v>0</v>
      </c>
      <c r="K43" s="26">
        <f t="shared" si="35"/>
        <v>0</v>
      </c>
      <c r="L43" s="26">
        <f t="shared" si="35"/>
        <v>0</v>
      </c>
      <c r="M43" s="26">
        <f t="shared" si="35"/>
        <v>0</v>
      </c>
      <c r="N43" s="26">
        <f t="shared" ref="N43:O43" si="36">N39-N40+N42</f>
        <v>0</v>
      </c>
      <c r="O43" s="26">
        <f t="shared" si="36"/>
        <v>0</v>
      </c>
      <c r="P43" s="26">
        <f t="shared" ref="P43:Q43" si="37">P39-P40+P42</f>
        <v>0</v>
      </c>
      <c r="Q43" s="26">
        <f t="shared" si="37"/>
        <v>0</v>
      </c>
    </row>
    <row r="44" spans="1:17" s="2" customFormat="1">
      <c r="A44" s="12" t="s">
        <v>5</v>
      </c>
      <c r="B44" s="13" t="s">
        <v>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s="2" customFormat="1">
      <c r="A45" s="7" t="s">
        <v>25</v>
      </c>
      <c r="B45" s="8" t="s">
        <v>96</v>
      </c>
      <c r="C45" s="25">
        <f>4782097+C42-600000+51000</f>
        <v>12135797</v>
      </c>
      <c r="D45" s="25">
        <f>C45-D22+D42</f>
        <v>13659308</v>
      </c>
      <c r="E45" s="25">
        <f t="shared" ref="E45:O45" si="38">D45-E22+E42</f>
        <v>9233983</v>
      </c>
      <c r="F45" s="25">
        <f t="shared" si="38"/>
        <v>9233983</v>
      </c>
      <c r="G45" s="25">
        <f t="shared" si="38"/>
        <v>9033983</v>
      </c>
      <c r="H45" s="25">
        <f t="shared" si="38"/>
        <v>8533983</v>
      </c>
      <c r="I45" s="25">
        <f t="shared" si="38"/>
        <v>7833983</v>
      </c>
      <c r="J45" s="25">
        <f t="shared" si="38"/>
        <v>7133983</v>
      </c>
      <c r="K45" s="25">
        <f t="shared" si="38"/>
        <v>5933983</v>
      </c>
      <c r="L45" s="25">
        <f t="shared" si="38"/>
        <v>4533983</v>
      </c>
      <c r="M45" s="25">
        <f t="shared" si="38"/>
        <v>3333983</v>
      </c>
      <c r="N45" s="25">
        <f t="shared" si="38"/>
        <v>2103983</v>
      </c>
      <c r="O45" s="25">
        <f t="shared" si="38"/>
        <v>1003983</v>
      </c>
      <c r="P45" s="25">
        <f t="shared" ref="P45" si="39">O45-P22+P42</f>
        <v>0</v>
      </c>
      <c r="Q45" s="25">
        <f t="shared" ref="Q45" si="40">P45-Q22+Q42</f>
        <v>0</v>
      </c>
    </row>
    <row r="46" spans="1:17" s="46" customFormat="1" ht="27">
      <c r="A46" s="49" t="s">
        <v>18</v>
      </c>
      <c r="B46" s="48" t="s">
        <v>127</v>
      </c>
      <c r="C46" s="47">
        <f>6136694-884300</f>
        <v>5252394</v>
      </c>
      <c r="D46" s="47">
        <f>6493694-884300+581670</f>
        <v>6191064</v>
      </c>
      <c r="E46" s="47">
        <v>33250</v>
      </c>
      <c r="F46" s="47">
        <v>33250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</row>
    <row r="47" spans="1:17" s="2" customFormat="1" ht="25.5">
      <c r="A47" s="9" t="s">
        <v>19</v>
      </c>
      <c r="B47" s="11" t="s">
        <v>62</v>
      </c>
      <c r="C47" s="25">
        <v>1893532</v>
      </c>
      <c r="D47" s="25">
        <v>0</v>
      </c>
      <c r="E47" s="25">
        <f>4157000-302000</f>
        <v>3855000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</row>
    <row r="48" spans="1:17" s="2" customFormat="1" ht="39.75">
      <c r="A48" s="7" t="s">
        <v>6</v>
      </c>
      <c r="B48" s="8" t="s">
        <v>97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</row>
    <row r="49" spans="1:17" s="2" customFormat="1">
      <c r="A49" s="7" t="s">
        <v>7</v>
      </c>
      <c r="B49" s="8" t="s">
        <v>98</v>
      </c>
      <c r="C49" s="42">
        <f>C21/C6</f>
        <v>0.21096598346039294</v>
      </c>
      <c r="D49" s="42">
        <f>D21/D6</f>
        <v>8.4430466767648871E-2</v>
      </c>
      <c r="E49" s="42">
        <f t="shared" ref="E49:G49" si="41">E21/E6</f>
        <v>0.25436503696102553</v>
      </c>
      <c r="F49" s="42">
        <f t="shared" si="41"/>
        <v>2.4257657236380639E-2</v>
      </c>
      <c r="G49" s="42">
        <f t="shared" si="41"/>
        <v>4.0682394712573011E-2</v>
      </c>
      <c r="H49" s="42">
        <f t="shared" ref="H49:M49" si="42">H21/H6</f>
        <v>5.6838389388405963E-2</v>
      </c>
      <c r="I49" s="42">
        <f t="shared" si="42"/>
        <v>6.5364135274681129E-2</v>
      </c>
      <c r="J49" s="42">
        <f t="shared" si="42"/>
        <v>6.1520167318778358E-2</v>
      </c>
      <c r="K49" s="42">
        <f t="shared" si="42"/>
        <v>8.5211046595954174E-2</v>
      </c>
      <c r="L49" s="42">
        <f t="shared" si="42"/>
        <v>9.0212475360787192E-2</v>
      </c>
      <c r="M49" s="42">
        <f t="shared" si="42"/>
        <v>7.368154938080837E-2</v>
      </c>
      <c r="N49" s="42">
        <f t="shared" ref="N49:O49" si="43">N21/N6</f>
        <v>7.0062885161908284E-2</v>
      </c>
      <c r="O49" s="42">
        <f t="shared" si="43"/>
        <v>5.8721500147605375E-2</v>
      </c>
      <c r="P49" s="42">
        <f t="shared" ref="P49:Q49" si="44">P21/P6</f>
        <v>4.9888636270467988E-2</v>
      </c>
      <c r="Q49" s="42">
        <f t="shared" si="44"/>
        <v>0</v>
      </c>
    </row>
    <row r="50" spans="1:17" s="2" customFormat="1" ht="18.75" customHeight="1">
      <c r="A50" s="9" t="s">
        <v>18</v>
      </c>
      <c r="B50" s="11" t="s">
        <v>99</v>
      </c>
      <c r="C50" s="42">
        <f>(SUM(Arkusz2!C8:D8)+Arkusz2!E8)/3</f>
        <v>3.2366003457977514E-2</v>
      </c>
      <c r="D50" s="42">
        <f>(SUM(Arkusz2!D8:F8))/3</f>
        <v>-7.5373867480018272E-3</v>
      </c>
      <c r="E50" s="42">
        <f>(Arkusz2!E8+Arkusz2!F8+((D7+D9-D54)/D6))/3</f>
        <v>-1.8387623031991457E-2</v>
      </c>
      <c r="F50" s="42">
        <f>(Arkusz2!F8+(D7+D9-D54)/D6+(E7+E9-E54)/E6)/3</f>
        <v>2.6635277732187573E-2</v>
      </c>
      <c r="G50" s="42">
        <f t="shared" ref="G50:O50" si="45">((D7+D9-D54)/D6+(E7+E9-E54)/E6+(F7+F9-F54)/F6)/3</f>
        <v>6.1933689413734838E-2</v>
      </c>
      <c r="H50" s="42">
        <f t="shared" si="45"/>
        <v>0.10419006837524414</v>
      </c>
      <c r="I50" s="42">
        <f t="shared" si="45"/>
        <v>0.11343286223716748</v>
      </c>
      <c r="J50" s="42">
        <f t="shared" si="45"/>
        <v>0.11647963774620408</v>
      </c>
      <c r="K50" s="42">
        <f t="shared" si="45"/>
        <v>0.11813640755806892</v>
      </c>
      <c r="L50" s="42">
        <f t="shared" si="45"/>
        <v>0.12018542934094197</v>
      </c>
      <c r="M50" s="42">
        <f t="shared" si="45"/>
        <v>0.1227558223022147</v>
      </c>
      <c r="N50" s="42">
        <f t="shared" si="45"/>
        <v>0.12580023736506904</v>
      </c>
      <c r="O50" s="42">
        <f t="shared" si="45"/>
        <v>0.12912206260691547</v>
      </c>
      <c r="P50" s="42">
        <f t="shared" ref="P50" si="46">((M7+M9-M54)/M6+(N7+N9-N54)/N6+(O7+O9-O54)/O6)/3</f>
        <v>0.13228406060482881</v>
      </c>
      <c r="Q50" s="42">
        <f t="shared" ref="Q50" si="47">((N7+N9-N54)/N6+(O7+O9-O54)/O6+(P7+P9-P54)/P6)/3</f>
        <v>0.13501786607120947</v>
      </c>
    </row>
    <row r="51" spans="1:17" s="2" customFormat="1" ht="30.75" customHeight="1">
      <c r="A51" s="7" t="s">
        <v>26</v>
      </c>
      <c r="B51" s="8" t="s">
        <v>100</v>
      </c>
      <c r="C51" s="25" t="str">
        <f>IF(C49&lt;=C50,"Zgodny z art. 243","Niezgodny z art. 243")</f>
        <v>Niezgodny z art. 243</v>
      </c>
      <c r="D51" s="25" t="str">
        <f t="shared" ref="D51:M51" si="48">IF(D49&lt;=D50,"Zgodny z art. 243","Niezgodny z art. 243")</f>
        <v>Niezgodny z art. 243</v>
      </c>
      <c r="E51" s="25" t="str">
        <f t="shared" si="48"/>
        <v>Niezgodny z art. 243</v>
      </c>
      <c r="F51" s="25" t="str">
        <f t="shared" si="48"/>
        <v>Zgodny z art. 243</v>
      </c>
      <c r="G51" s="25" t="str">
        <f t="shared" si="48"/>
        <v>Zgodny z art. 243</v>
      </c>
      <c r="H51" s="25" t="str">
        <f t="shared" si="48"/>
        <v>Zgodny z art. 243</v>
      </c>
      <c r="I51" s="25" t="str">
        <f t="shared" si="48"/>
        <v>Zgodny z art. 243</v>
      </c>
      <c r="J51" s="25" t="str">
        <f t="shared" si="48"/>
        <v>Zgodny z art. 243</v>
      </c>
      <c r="K51" s="25" t="str">
        <f t="shared" si="48"/>
        <v>Zgodny z art. 243</v>
      </c>
      <c r="L51" s="25" t="str">
        <f t="shared" si="48"/>
        <v>Zgodny z art. 243</v>
      </c>
      <c r="M51" s="25" t="str">
        <f t="shared" si="48"/>
        <v>Zgodny z art. 243</v>
      </c>
      <c r="N51" s="25" t="str">
        <f t="shared" ref="N51:O51" si="49">IF(N49&lt;=N50,"Zgodny z art. 243","Niezgodny z art. 243")</f>
        <v>Zgodny z art. 243</v>
      </c>
      <c r="O51" s="25" t="str">
        <f t="shared" si="49"/>
        <v>Zgodny z art. 243</v>
      </c>
      <c r="P51" s="25" t="str">
        <f t="shared" ref="P51:Q51" si="50">IF(P49&lt;=P50,"Zgodny z art. 243","Niezgodny z art. 243")</f>
        <v>Zgodny z art. 243</v>
      </c>
      <c r="Q51" s="25" t="str">
        <f t="shared" si="50"/>
        <v>Zgodny z art. 243</v>
      </c>
    </row>
    <row r="52" spans="1:17" s="2" customFormat="1" ht="27">
      <c r="A52" s="7" t="s">
        <v>27</v>
      </c>
      <c r="B52" s="8" t="s">
        <v>101</v>
      </c>
      <c r="C52" s="41">
        <f>(C21-C47)/C6</f>
        <v>9.1631901132170457E-2</v>
      </c>
      <c r="D52" s="41">
        <f>(D21-D47)/D6</f>
        <v>8.4430466767648871E-2</v>
      </c>
      <c r="E52" s="41">
        <f>(E21-E47)/E6</f>
        <v>6.3741056681879849E-2</v>
      </c>
      <c r="F52" s="33" t="s">
        <v>110</v>
      </c>
      <c r="G52" s="33" t="s">
        <v>110</v>
      </c>
      <c r="H52" s="33" t="s">
        <v>110</v>
      </c>
      <c r="I52" s="33" t="s">
        <v>110</v>
      </c>
      <c r="J52" s="33" t="s">
        <v>110</v>
      </c>
      <c r="K52" s="33" t="s">
        <v>110</v>
      </c>
      <c r="L52" s="33" t="s">
        <v>110</v>
      </c>
      <c r="M52" s="33" t="s">
        <v>110</v>
      </c>
      <c r="N52" s="33" t="s">
        <v>110</v>
      </c>
      <c r="O52" s="33" t="s">
        <v>110</v>
      </c>
      <c r="P52" s="33" t="s">
        <v>110</v>
      </c>
      <c r="Q52" s="33" t="s">
        <v>110</v>
      </c>
    </row>
    <row r="53" spans="1:17" s="2" customFormat="1" ht="27">
      <c r="A53" s="7" t="s">
        <v>28</v>
      </c>
      <c r="B53" s="8" t="s">
        <v>102</v>
      </c>
      <c r="C53" s="41">
        <f>(C45-C46)/C6</f>
        <v>0.43380549169506172</v>
      </c>
      <c r="D53" s="41">
        <f>(D45-D46)/D6</f>
        <v>0.44035955704389235</v>
      </c>
      <c r="E53" s="41">
        <f>(E45-E46)/E6</f>
        <v>0.45496247625050196</v>
      </c>
      <c r="F53" s="33" t="s">
        <v>110</v>
      </c>
      <c r="G53" s="33" t="s">
        <v>110</v>
      </c>
      <c r="H53" s="33" t="s">
        <v>110</v>
      </c>
      <c r="I53" s="33" t="s">
        <v>110</v>
      </c>
      <c r="J53" s="33" t="s">
        <v>110</v>
      </c>
      <c r="K53" s="33" t="s">
        <v>110</v>
      </c>
      <c r="L53" s="33" t="s">
        <v>110</v>
      </c>
      <c r="M53" s="33" t="s">
        <v>110</v>
      </c>
      <c r="N53" s="33" t="s">
        <v>110</v>
      </c>
      <c r="O53" s="33" t="s">
        <v>110</v>
      </c>
      <c r="P53" s="33" t="s">
        <v>110</v>
      </c>
      <c r="Q53" s="33" t="s">
        <v>110</v>
      </c>
    </row>
    <row r="54" spans="1:17" s="2" customFormat="1">
      <c r="A54" s="7" t="s">
        <v>29</v>
      </c>
      <c r="B54" s="8" t="s">
        <v>8</v>
      </c>
      <c r="C54" s="154">
        <f t="shared" ref="C54:N54" si="51">C10+C30</f>
        <v>13641657.93</v>
      </c>
      <c r="D54" s="26">
        <f t="shared" si="51"/>
        <v>15124569</v>
      </c>
      <c r="E54" s="26">
        <f t="shared" si="51"/>
        <v>14107806.15</v>
      </c>
      <c r="F54" s="26">
        <f t="shared" si="51"/>
        <v>13937982.92</v>
      </c>
      <c r="G54" s="26">
        <f t="shared" si="51"/>
        <v>14390371.557600001</v>
      </c>
      <c r="H54" s="26">
        <f t="shared" si="51"/>
        <v>14798231.729828002</v>
      </c>
      <c r="I54" s="26">
        <f t="shared" si="51"/>
        <v>15203627.707222842</v>
      </c>
      <c r="J54" s="26">
        <f t="shared" si="51"/>
        <v>15611935.563939527</v>
      </c>
      <c r="K54" s="26">
        <f t="shared" si="51"/>
        <v>16033542.656357713</v>
      </c>
      <c r="L54" s="26">
        <f t="shared" si="51"/>
        <v>16443847.961548446</v>
      </c>
      <c r="M54" s="26">
        <f t="shared" si="51"/>
        <v>16858262.425894897</v>
      </c>
      <c r="N54" s="26">
        <f t="shared" si="51"/>
        <v>17297209.324171744</v>
      </c>
      <c r="O54" s="26">
        <f t="shared" ref="O54:Q54" si="52">O10+O30</f>
        <v>17749624.629396897</v>
      </c>
      <c r="P54" s="26">
        <f t="shared" si="52"/>
        <v>18223957.243778806</v>
      </c>
      <c r="Q54" s="26">
        <f t="shared" si="52"/>
        <v>18718970.991092172</v>
      </c>
    </row>
    <row r="55" spans="1:17" s="2" customFormat="1">
      <c r="A55" s="7" t="s">
        <v>30</v>
      </c>
      <c r="B55" s="8" t="s">
        <v>9</v>
      </c>
      <c r="C55" s="154">
        <f>C40+C54</f>
        <v>23555297.93</v>
      </c>
      <c r="D55" s="26">
        <f t="shared" ref="D55:G55" si="53">D40+D54</f>
        <v>18938201</v>
      </c>
      <c r="E55" s="26">
        <f t="shared" si="53"/>
        <v>15797734</v>
      </c>
      <c r="F55" s="26">
        <f t="shared" si="53"/>
        <v>17108000</v>
      </c>
      <c r="G55" s="26">
        <f t="shared" si="53"/>
        <v>16065000</v>
      </c>
      <c r="H55" s="26">
        <f t="shared" ref="H55:M55" si="54">H40+H54</f>
        <v>16243950</v>
      </c>
      <c r="I55" s="26">
        <f t="shared" si="54"/>
        <v>16537268.5</v>
      </c>
      <c r="J55" s="26">
        <f t="shared" si="54"/>
        <v>17045386.555</v>
      </c>
      <c r="K55" s="26">
        <f t="shared" si="54"/>
        <v>17068748.15165</v>
      </c>
      <c r="L55" s="26">
        <f t="shared" si="54"/>
        <v>17407810.596199501</v>
      </c>
      <c r="M55" s="26">
        <f t="shared" si="54"/>
        <v>18163044.914085485</v>
      </c>
      <c r="N55" s="26">
        <f t="shared" ref="N55:O55" si="55">N40+N54</f>
        <v>18704936.261508051</v>
      </c>
      <c r="O55" s="26">
        <f t="shared" si="55"/>
        <v>19423984.349353295</v>
      </c>
      <c r="P55" s="26">
        <f t="shared" ref="P55:Q55" si="56">P40+P54</f>
        <v>20126720.879833896</v>
      </c>
      <c r="Q55" s="26">
        <f t="shared" si="56"/>
        <v>21755624.996228915</v>
      </c>
    </row>
    <row r="56" spans="1:17" s="2" customFormat="1">
      <c r="A56" s="7" t="s">
        <v>31</v>
      </c>
      <c r="B56" s="8" t="s">
        <v>10</v>
      </c>
      <c r="C56" s="154">
        <f t="shared" ref="C56:N56" si="57">C6-C55</f>
        <v>-7687810.9299999997</v>
      </c>
      <c r="D56" s="26">
        <f t="shared" si="57"/>
        <v>-1978778</v>
      </c>
      <c r="E56" s="26">
        <f t="shared" si="57"/>
        <v>4425325</v>
      </c>
      <c r="F56" s="26">
        <f t="shared" si="57"/>
        <v>0</v>
      </c>
      <c r="G56" s="26">
        <f t="shared" si="57"/>
        <v>200000</v>
      </c>
      <c r="H56" s="26">
        <f t="shared" si="57"/>
        <v>500000</v>
      </c>
      <c r="I56" s="26">
        <f t="shared" si="57"/>
        <v>700000</v>
      </c>
      <c r="J56" s="26">
        <f t="shared" si="57"/>
        <v>700000</v>
      </c>
      <c r="K56" s="26">
        <f t="shared" si="57"/>
        <v>1200000</v>
      </c>
      <c r="L56" s="26">
        <f t="shared" si="57"/>
        <v>1400000</v>
      </c>
      <c r="M56" s="26">
        <f t="shared" si="57"/>
        <v>1200000</v>
      </c>
      <c r="N56" s="26">
        <f t="shared" si="57"/>
        <v>1230000</v>
      </c>
      <c r="O56" s="26">
        <f t="shared" ref="O56:Q56" si="58">O6-O55</f>
        <v>1100000</v>
      </c>
      <c r="P56" s="26">
        <f t="shared" si="58"/>
        <v>1003983</v>
      </c>
      <c r="Q56" s="26">
        <f t="shared" si="58"/>
        <v>0</v>
      </c>
    </row>
    <row r="57" spans="1:17" s="2" customFormat="1">
      <c r="A57" s="7" t="s">
        <v>32</v>
      </c>
      <c r="B57" s="8" t="s">
        <v>11</v>
      </c>
      <c r="C57" s="154">
        <f>C42+C19+C17</f>
        <v>11042078</v>
      </c>
      <c r="D57" s="26">
        <f>D42+D17</f>
        <v>2731550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1</v>
      </c>
      <c r="Q57" s="26">
        <v>2</v>
      </c>
    </row>
    <row r="58" spans="1:17" s="2" customFormat="1">
      <c r="A58" s="7" t="s">
        <v>33</v>
      </c>
      <c r="B58" s="8" t="s">
        <v>12</v>
      </c>
      <c r="C58" s="154">
        <f t="shared" ref="C58:N58" si="59">C22+C38</f>
        <v>2899000</v>
      </c>
      <c r="D58" s="26">
        <f t="shared" si="59"/>
        <v>752772</v>
      </c>
      <c r="E58" s="26">
        <f t="shared" si="59"/>
        <v>4425325</v>
      </c>
      <c r="F58" s="26">
        <f t="shared" si="59"/>
        <v>0</v>
      </c>
      <c r="G58" s="26">
        <f t="shared" si="59"/>
        <v>200000</v>
      </c>
      <c r="H58" s="26">
        <f t="shared" si="59"/>
        <v>500000</v>
      </c>
      <c r="I58" s="26">
        <f t="shared" si="59"/>
        <v>700000</v>
      </c>
      <c r="J58" s="26">
        <f t="shared" si="59"/>
        <v>700000</v>
      </c>
      <c r="K58" s="26">
        <f t="shared" si="59"/>
        <v>1200000</v>
      </c>
      <c r="L58" s="26">
        <f t="shared" si="59"/>
        <v>1400000</v>
      </c>
      <c r="M58" s="26">
        <f t="shared" si="59"/>
        <v>1200000</v>
      </c>
      <c r="N58" s="26">
        <f t="shared" si="59"/>
        <v>1230000</v>
      </c>
      <c r="O58" s="26">
        <f t="shared" ref="O58:Q58" si="60">O22+O38</f>
        <v>1100000</v>
      </c>
      <c r="P58" s="26">
        <f t="shared" si="60"/>
        <v>1003983</v>
      </c>
      <c r="Q58" s="26">
        <f t="shared" si="60"/>
        <v>0</v>
      </c>
    </row>
    <row r="59" spans="1:17">
      <c r="C59" s="44">
        <f>C56+C57-C58</f>
        <v>455267.0700000003</v>
      </c>
      <c r="D59" s="44">
        <f t="shared" ref="D59:O59" si="61">D56+D57-D58</f>
        <v>0</v>
      </c>
      <c r="E59" s="44">
        <f t="shared" si="61"/>
        <v>0</v>
      </c>
      <c r="F59" s="44">
        <f t="shared" si="61"/>
        <v>0</v>
      </c>
      <c r="G59" s="44">
        <f t="shared" si="61"/>
        <v>0</v>
      </c>
      <c r="H59" s="44">
        <f t="shared" si="61"/>
        <v>0</v>
      </c>
      <c r="I59" s="44">
        <f t="shared" si="61"/>
        <v>0</v>
      </c>
      <c r="J59" s="44">
        <f t="shared" si="61"/>
        <v>0</v>
      </c>
      <c r="K59" s="44">
        <f t="shared" si="61"/>
        <v>0</v>
      </c>
      <c r="L59" s="44">
        <f t="shared" si="61"/>
        <v>0</v>
      </c>
      <c r="M59" s="44">
        <f t="shared" si="61"/>
        <v>0</v>
      </c>
      <c r="N59" s="44">
        <f t="shared" si="61"/>
        <v>0</v>
      </c>
      <c r="O59" s="44">
        <f t="shared" si="61"/>
        <v>0</v>
      </c>
    </row>
    <row r="60" spans="1:17" s="2" customFormat="1" ht="42.75" customHeight="1">
      <c r="A60" s="14" t="s">
        <v>43</v>
      </c>
      <c r="B60" s="286" t="s">
        <v>79</v>
      </c>
      <c r="C60" s="286"/>
      <c r="D60" s="286"/>
      <c r="E60" s="286"/>
      <c r="F60" s="286"/>
      <c r="G60" s="286"/>
      <c r="H60" s="286"/>
    </row>
    <row r="61" spans="1:17" s="2" customFormat="1" ht="16.5">
      <c r="A61" s="14" t="s">
        <v>44</v>
      </c>
      <c r="B61" s="286" t="s">
        <v>63</v>
      </c>
      <c r="C61" s="286"/>
      <c r="D61" s="286"/>
      <c r="E61" s="286"/>
      <c r="F61" s="286"/>
      <c r="G61" s="286"/>
      <c r="H61" s="286"/>
    </row>
    <row r="62" spans="1:17" s="2" customFormat="1" ht="15.75" customHeight="1">
      <c r="A62" s="14" t="s">
        <v>45</v>
      </c>
      <c r="B62" s="286" t="s">
        <v>67</v>
      </c>
      <c r="C62" s="286"/>
      <c r="D62" s="286"/>
      <c r="E62" s="286"/>
      <c r="F62" s="286"/>
      <c r="G62" s="286"/>
      <c r="H62" s="286"/>
    </row>
    <row r="63" spans="1:17" s="2" customFormat="1" ht="16.5">
      <c r="A63" s="14" t="s">
        <v>46</v>
      </c>
      <c r="B63" s="286" t="s">
        <v>68</v>
      </c>
      <c r="C63" s="286"/>
      <c r="D63" s="286"/>
      <c r="E63" s="286"/>
      <c r="F63" s="286"/>
      <c r="G63" s="286"/>
      <c r="H63" s="286"/>
    </row>
    <row r="64" spans="1:17" s="2" customFormat="1" ht="16.5">
      <c r="A64" s="14" t="s">
        <v>47</v>
      </c>
      <c r="B64" s="286" t="s">
        <v>69</v>
      </c>
      <c r="C64" s="286"/>
      <c r="D64" s="286"/>
      <c r="E64" s="286"/>
      <c r="F64" s="286"/>
      <c r="G64" s="286"/>
      <c r="H64" s="286"/>
    </row>
    <row r="65" spans="1:8" s="2" customFormat="1" ht="16.5">
      <c r="A65" s="14" t="s">
        <v>48</v>
      </c>
      <c r="B65" s="286" t="s">
        <v>64</v>
      </c>
      <c r="C65" s="286"/>
      <c r="D65" s="286"/>
      <c r="E65" s="286"/>
      <c r="F65" s="286"/>
      <c r="G65" s="286"/>
      <c r="H65" s="286"/>
    </row>
    <row r="66" spans="1:8" s="2" customFormat="1" ht="16.5">
      <c r="A66" s="14" t="s">
        <v>49</v>
      </c>
      <c r="B66" s="286" t="s">
        <v>70</v>
      </c>
      <c r="C66" s="286"/>
      <c r="D66" s="286"/>
      <c r="E66" s="286"/>
      <c r="F66" s="286"/>
      <c r="G66" s="286"/>
      <c r="H66" s="286"/>
    </row>
    <row r="67" spans="1:8" s="2" customFormat="1" ht="16.5">
      <c r="A67" s="14" t="s">
        <v>50</v>
      </c>
      <c r="B67" s="286" t="s">
        <v>71</v>
      </c>
      <c r="C67" s="286"/>
      <c r="D67" s="286"/>
      <c r="E67" s="286"/>
      <c r="F67" s="286"/>
      <c r="G67" s="286"/>
      <c r="H67" s="286"/>
    </row>
    <row r="68" spans="1:8" s="2" customFormat="1" ht="16.5">
      <c r="A68" s="14" t="s">
        <v>51</v>
      </c>
      <c r="B68" s="286" t="s">
        <v>72</v>
      </c>
      <c r="C68" s="286"/>
      <c r="D68" s="286"/>
      <c r="E68" s="286"/>
      <c r="F68" s="286"/>
      <c r="G68" s="286"/>
      <c r="H68" s="286"/>
    </row>
    <row r="69" spans="1:8" s="2" customFormat="1" ht="31.5" customHeight="1">
      <c r="A69" s="14" t="s">
        <v>52</v>
      </c>
      <c r="B69" s="286" t="s">
        <v>73</v>
      </c>
      <c r="C69" s="286"/>
      <c r="D69" s="286"/>
      <c r="E69" s="286"/>
      <c r="F69" s="286"/>
      <c r="G69" s="286"/>
      <c r="H69" s="286"/>
    </row>
    <row r="70" spans="1:8" s="2" customFormat="1" ht="43.5" customHeight="1">
      <c r="A70" s="14" t="s">
        <v>53</v>
      </c>
      <c r="B70" s="286" t="s">
        <v>80</v>
      </c>
      <c r="C70" s="286"/>
      <c r="D70" s="286"/>
      <c r="E70" s="286"/>
      <c r="F70" s="286"/>
      <c r="G70" s="286"/>
      <c r="H70" s="286"/>
    </row>
    <row r="71" spans="1:8" s="2" customFormat="1" ht="16.5">
      <c r="A71" s="14" t="s">
        <v>54</v>
      </c>
      <c r="B71" s="286" t="s">
        <v>74</v>
      </c>
      <c r="C71" s="286"/>
      <c r="D71" s="286"/>
      <c r="E71" s="286"/>
      <c r="F71" s="286"/>
      <c r="G71" s="286"/>
      <c r="H71" s="286"/>
    </row>
    <row r="72" spans="1:8" s="2" customFormat="1" ht="16.5">
      <c r="A72" s="14" t="s">
        <v>55</v>
      </c>
      <c r="B72" s="286" t="s">
        <v>65</v>
      </c>
      <c r="C72" s="286"/>
      <c r="D72" s="286"/>
      <c r="E72" s="286"/>
      <c r="F72" s="286"/>
      <c r="G72" s="286"/>
      <c r="H72" s="286"/>
    </row>
    <row r="73" spans="1:8" s="2" customFormat="1" ht="16.5">
      <c r="A73" s="14" t="s">
        <v>56</v>
      </c>
      <c r="B73" s="286" t="s">
        <v>75</v>
      </c>
      <c r="C73" s="286"/>
      <c r="D73" s="286"/>
      <c r="E73" s="286"/>
      <c r="F73" s="286"/>
      <c r="G73" s="286"/>
      <c r="H73" s="286"/>
    </row>
    <row r="74" spans="1:8" s="2" customFormat="1" ht="16.5">
      <c r="A74" s="14" t="s">
        <v>57</v>
      </c>
      <c r="B74" s="286" t="s">
        <v>76</v>
      </c>
      <c r="C74" s="286"/>
      <c r="D74" s="286"/>
      <c r="E74" s="286"/>
      <c r="F74" s="286"/>
      <c r="G74" s="286"/>
      <c r="H74" s="286"/>
    </row>
    <row r="75" spans="1:8" s="2" customFormat="1" ht="28.5" customHeight="1">
      <c r="A75" s="14" t="s">
        <v>58</v>
      </c>
      <c r="B75" s="286" t="s">
        <v>77</v>
      </c>
      <c r="C75" s="286"/>
      <c r="D75" s="286"/>
      <c r="E75" s="286"/>
      <c r="F75" s="286"/>
      <c r="G75" s="286"/>
      <c r="H75" s="286"/>
    </row>
    <row r="76" spans="1:8" s="2" customFormat="1" ht="16.5">
      <c r="A76" s="14" t="s">
        <v>59</v>
      </c>
      <c r="B76" s="286" t="s">
        <v>66</v>
      </c>
      <c r="C76" s="286"/>
      <c r="D76" s="286"/>
      <c r="E76" s="286"/>
      <c r="F76" s="286"/>
      <c r="G76" s="286"/>
      <c r="H76" s="286"/>
    </row>
    <row r="77" spans="1:8" s="2" customFormat="1" ht="16.5">
      <c r="A77" s="14" t="s">
        <v>60</v>
      </c>
      <c r="B77" s="286" t="s">
        <v>78</v>
      </c>
      <c r="C77" s="286"/>
      <c r="D77" s="286"/>
      <c r="E77" s="286"/>
      <c r="F77" s="286"/>
      <c r="G77" s="286"/>
      <c r="H77" s="286"/>
    </row>
    <row r="78" spans="1:8" s="2" customFormat="1">
      <c r="A78" s="15"/>
      <c r="B78" s="16"/>
      <c r="C78" s="17"/>
      <c r="D78" s="17"/>
      <c r="E78" s="17"/>
      <c r="F78" s="17"/>
      <c r="G78" s="17"/>
      <c r="H78" s="17"/>
    </row>
    <row r="79" spans="1:8" s="2" customFormat="1" ht="26.25" customHeight="1">
      <c r="A79" s="286" t="s">
        <v>107</v>
      </c>
      <c r="B79" s="286"/>
      <c r="C79" s="286"/>
      <c r="D79" s="286"/>
      <c r="E79" s="286"/>
      <c r="F79" s="286"/>
      <c r="G79" s="286"/>
      <c r="H79" s="286"/>
    </row>
    <row r="80" spans="1:8">
      <c r="A80" s="285" t="s">
        <v>108</v>
      </c>
      <c r="B80" s="285"/>
      <c r="C80" s="285"/>
      <c r="D80" s="285"/>
      <c r="E80" s="285"/>
      <c r="F80" s="285"/>
      <c r="G80" s="285"/>
      <c r="H80" s="285"/>
    </row>
    <row r="81" spans="2:2">
      <c r="B81" s="3"/>
    </row>
    <row r="82" spans="2:2">
      <c r="B82" s="3"/>
    </row>
  </sheetData>
  <mergeCells count="22">
    <mergeCell ref="K1:L1"/>
    <mergeCell ref="B60:H60"/>
    <mergeCell ref="B61:H61"/>
    <mergeCell ref="A2:M2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7:H77"/>
    <mergeCell ref="A80:H80"/>
    <mergeCell ref="A79:H79"/>
    <mergeCell ref="B72:H72"/>
    <mergeCell ref="B73:H73"/>
    <mergeCell ref="B74:H74"/>
    <mergeCell ref="B75:H75"/>
    <mergeCell ref="B76:H76"/>
  </mergeCells>
  <printOptions horizontalCentered="1"/>
  <pageMargins left="0.27559055118110237" right="0.27559055118110237" top="0.39370078740157483" bottom="0.35433070866141736" header="0.31496062992125984" footer="0.31496062992125984"/>
  <pageSetup paperSize="287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F6" sqref="F6"/>
    </sheetView>
  </sheetViews>
  <sheetFormatPr defaultRowHeight="14.25"/>
  <cols>
    <col min="2" max="2" width="50.75" customWidth="1"/>
    <col min="3" max="3" width="14.25" customWidth="1"/>
    <col min="4" max="5" width="12.875" customWidth="1"/>
    <col min="6" max="6" width="14.25" customWidth="1"/>
  </cols>
  <sheetData>
    <row r="2" spans="2:6">
      <c r="C2">
        <v>2008</v>
      </c>
      <c r="D2">
        <v>2009</v>
      </c>
      <c r="E2">
        <v>2010</v>
      </c>
      <c r="F2" t="s">
        <v>217</v>
      </c>
    </row>
    <row r="3" spans="2:6">
      <c r="B3" s="8" t="s">
        <v>89</v>
      </c>
      <c r="C3">
        <v>14029985</v>
      </c>
      <c r="D3">
        <v>14230011.77</v>
      </c>
      <c r="E3" s="40">
        <f>SUM(E4:E5)</f>
        <v>16360657.9</v>
      </c>
      <c r="F3" s="40">
        <f>SUM(F4:F5)</f>
        <v>15772145.93</v>
      </c>
    </row>
    <row r="4" spans="2:6">
      <c r="B4" s="10" t="s">
        <v>13</v>
      </c>
      <c r="C4">
        <v>13140171</v>
      </c>
      <c r="D4">
        <v>13426176</v>
      </c>
      <c r="E4">
        <v>13328461.310000001</v>
      </c>
      <c r="F4" s="40">
        <v>13481745.93</v>
      </c>
    </row>
    <row r="5" spans="2:6">
      <c r="B5" s="11" t="s">
        <v>14</v>
      </c>
      <c r="D5">
        <v>803836</v>
      </c>
      <c r="E5">
        <v>3032196.59</v>
      </c>
      <c r="F5">
        <v>2290400</v>
      </c>
    </row>
    <row r="6" spans="2:6">
      <c r="B6" s="11" t="s">
        <v>87</v>
      </c>
      <c r="C6">
        <v>243478.44</v>
      </c>
      <c r="D6">
        <v>134056.76</v>
      </c>
      <c r="E6">
        <v>92937.99</v>
      </c>
      <c r="F6">
        <v>190000</v>
      </c>
    </row>
    <row r="7" spans="2:6">
      <c r="B7" s="8" t="s">
        <v>116</v>
      </c>
      <c r="C7">
        <v>11662817</v>
      </c>
      <c r="D7">
        <v>13260876.960000001</v>
      </c>
      <c r="E7">
        <v>14183688.6</v>
      </c>
      <c r="F7">
        <v>13625316.93</v>
      </c>
    </row>
    <row r="8" spans="2:6">
      <c r="C8">
        <f>(C4-C7+C6)/C3</f>
        <v>0.12265390447673322</v>
      </c>
      <c r="D8">
        <f t="shared" ref="D8" si="0">(D4-D7+D6)/D3</f>
        <v>2.1036932705221445E-2</v>
      </c>
      <c r="E8">
        <f>(E4-E7+E6)/E3</f>
        <v>-4.6592826808022132E-2</v>
      </c>
      <c r="F8">
        <f>(F4-F7+F6)/F3</f>
        <v>2.943733858795206E-3</v>
      </c>
    </row>
    <row r="10" spans="2:6">
      <c r="C10">
        <f>SUM(C8:E8)/3</f>
        <v>3.2366003457977514E-2</v>
      </c>
      <c r="D10">
        <f>SUM(D8:F8)/3</f>
        <v>-7.5373867480018272E-3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E6" sqref="E6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opLeftCell="A55" workbookViewId="0">
      <selection activeCell="E81" sqref="E81"/>
    </sheetView>
  </sheetViews>
  <sheetFormatPr defaultRowHeight="12.75"/>
  <cols>
    <col min="1" max="1" width="3.875" style="76" customWidth="1"/>
    <col min="2" max="2" width="62" style="76" customWidth="1"/>
    <col min="3" max="9" width="14.5" style="76" customWidth="1"/>
    <col min="10" max="17" width="14.125" style="76" customWidth="1"/>
    <col min="18" max="16384" width="9" style="76"/>
  </cols>
  <sheetData>
    <row r="1" spans="1:17" ht="43.5" customHeight="1">
      <c r="A1" s="50"/>
      <c r="B1" s="74" t="s">
        <v>186</v>
      </c>
      <c r="C1" s="75"/>
      <c r="D1" s="293" t="s">
        <v>214</v>
      </c>
      <c r="E1" s="293"/>
      <c r="F1" s="293"/>
      <c r="G1" s="293"/>
      <c r="H1" s="293"/>
      <c r="I1" s="51"/>
    </row>
    <row r="2" spans="1:17" ht="69.75" customHeight="1">
      <c r="A2" s="50"/>
      <c r="B2" s="294" t="s">
        <v>215</v>
      </c>
      <c r="C2" s="294"/>
      <c r="D2" s="294"/>
      <c r="E2" s="77"/>
      <c r="F2" s="77"/>
      <c r="G2" s="77"/>
      <c r="H2" s="78"/>
      <c r="I2" s="75"/>
    </row>
    <row r="3" spans="1:17" ht="13.5" thickBot="1">
      <c r="A3" s="50"/>
      <c r="B3" s="79"/>
      <c r="C3" s="75"/>
      <c r="D3" s="75"/>
      <c r="E3" s="75"/>
      <c r="F3" s="75"/>
      <c r="G3" s="75"/>
      <c r="H3" s="80" t="s">
        <v>132</v>
      </c>
      <c r="I3" s="75"/>
    </row>
    <row r="4" spans="1:17" ht="13.5" thickBot="1">
      <c r="A4" s="52" t="s">
        <v>82</v>
      </c>
      <c r="B4" s="81" t="s">
        <v>81</v>
      </c>
      <c r="C4" s="295" t="s">
        <v>133</v>
      </c>
      <c r="D4" s="296"/>
      <c r="E4" s="297" t="s">
        <v>134</v>
      </c>
      <c r="F4" s="297"/>
      <c r="G4" s="297"/>
      <c r="H4" s="82"/>
      <c r="I4" s="83"/>
      <c r="J4" s="82"/>
      <c r="K4" s="83"/>
      <c r="L4" s="82"/>
      <c r="M4" s="83"/>
      <c r="N4" s="82"/>
      <c r="O4" s="83"/>
      <c r="P4" s="82"/>
      <c r="Q4" s="83"/>
    </row>
    <row r="5" spans="1:17" ht="13.5" thickBot="1">
      <c r="A5" s="53"/>
      <c r="B5" s="84"/>
      <c r="C5" s="85">
        <v>2009</v>
      </c>
      <c r="D5" s="85">
        <v>2010</v>
      </c>
      <c r="E5" s="85">
        <v>2011</v>
      </c>
      <c r="F5" s="85">
        <v>2012</v>
      </c>
      <c r="G5" s="85">
        <v>2013</v>
      </c>
      <c r="H5" s="85">
        <v>2014</v>
      </c>
      <c r="I5" s="85">
        <v>2015</v>
      </c>
      <c r="J5" s="85">
        <v>2016</v>
      </c>
      <c r="K5" s="85">
        <v>2017</v>
      </c>
      <c r="L5" s="85">
        <v>2018</v>
      </c>
      <c r="M5" s="85">
        <v>2019</v>
      </c>
      <c r="N5" s="85">
        <v>2020</v>
      </c>
      <c r="O5" s="85">
        <v>2021</v>
      </c>
      <c r="P5" s="85">
        <v>2022</v>
      </c>
      <c r="Q5" s="85">
        <v>2023</v>
      </c>
    </row>
    <row r="6" spans="1:17" ht="13.5" thickBot="1">
      <c r="A6" s="54">
        <v>1</v>
      </c>
      <c r="B6" s="86" t="s">
        <v>135</v>
      </c>
      <c r="C6" s="87">
        <f t="shared" ref="C6:D6" si="0">SUM(C7:C8)</f>
        <v>14230012</v>
      </c>
      <c r="D6" s="87">
        <f t="shared" si="0"/>
        <v>16360658</v>
      </c>
      <c r="E6" s="87">
        <f>SUM(E7:E8)</f>
        <v>15867487</v>
      </c>
      <c r="F6" s="87">
        <f t="shared" ref="F6:Q6" si="1">SUM(F7:F8)</f>
        <v>16959423</v>
      </c>
      <c r="G6" s="87">
        <f t="shared" si="1"/>
        <v>20223059</v>
      </c>
      <c r="H6" s="87">
        <f t="shared" si="1"/>
        <v>17108000</v>
      </c>
      <c r="I6" s="87">
        <f t="shared" si="1"/>
        <v>16265000</v>
      </c>
      <c r="J6" s="87">
        <f t="shared" si="1"/>
        <v>16743950</v>
      </c>
      <c r="K6" s="87">
        <f t="shared" si="1"/>
        <v>17237268.5</v>
      </c>
      <c r="L6" s="87">
        <f t="shared" si="1"/>
        <v>17745386.555</v>
      </c>
      <c r="M6" s="87">
        <f t="shared" si="1"/>
        <v>18268748.15165</v>
      </c>
      <c r="N6" s="87">
        <f t="shared" si="1"/>
        <v>18807810.596199501</v>
      </c>
      <c r="O6" s="87">
        <f t="shared" si="1"/>
        <v>19363044.914085485</v>
      </c>
      <c r="P6" s="87">
        <f t="shared" si="1"/>
        <v>19934936.261508051</v>
      </c>
      <c r="Q6" s="87">
        <f t="shared" si="1"/>
        <v>20523984.349353295</v>
      </c>
    </row>
    <row r="7" spans="1:17">
      <c r="A7" s="55">
        <v>2</v>
      </c>
      <c r="B7" s="88" t="s">
        <v>136</v>
      </c>
      <c r="C7" s="89">
        <v>13426176</v>
      </c>
      <c r="D7" s="89">
        <v>13328461</v>
      </c>
      <c r="E7" s="89">
        <f>Arkusz1!C7</f>
        <v>13577087</v>
      </c>
      <c r="F7" s="89">
        <f>Arkusz1!D7</f>
        <v>14669302</v>
      </c>
      <c r="G7" s="89">
        <f>Arkusz1!E7</f>
        <v>15475059</v>
      </c>
      <c r="H7" s="89">
        <f>Arkusz1!F7</f>
        <v>15500000</v>
      </c>
      <c r="I7" s="89">
        <f>Arkusz1!G7</f>
        <v>15965000</v>
      </c>
      <c r="J7" s="89">
        <f>Arkusz1!H7</f>
        <v>16443950</v>
      </c>
      <c r="K7" s="89">
        <f>Arkusz1!I7</f>
        <v>16937268.5</v>
      </c>
      <c r="L7" s="89">
        <f>Arkusz1!J7</f>
        <v>17445386.555</v>
      </c>
      <c r="M7" s="89">
        <f>Arkusz1!K7</f>
        <v>17968748.15165</v>
      </c>
      <c r="N7" s="89">
        <f>Arkusz1!L7</f>
        <v>18507810.596199501</v>
      </c>
      <c r="O7" s="89">
        <f>Arkusz1!M7</f>
        <v>19063044.914085485</v>
      </c>
      <c r="P7" s="89">
        <f>Arkusz1!N7</f>
        <v>19634936.261508051</v>
      </c>
      <c r="Q7" s="89">
        <f>Arkusz1!O7</f>
        <v>20223984.349353295</v>
      </c>
    </row>
    <row r="8" spans="1:17">
      <c r="A8" s="56">
        <v>3</v>
      </c>
      <c r="B8" s="90" t="s">
        <v>137</v>
      </c>
      <c r="C8" s="91">
        <v>803836</v>
      </c>
      <c r="D8" s="91">
        <v>3032197</v>
      </c>
      <c r="E8" s="89">
        <f>Arkusz1!C8</f>
        <v>2290400</v>
      </c>
      <c r="F8" s="89">
        <f>Arkusz1!D8</f>
        <v>2290121</v>
      </c>
      <c r="G8" s="89">
        <f>Arkusz1!E8</f>
        <v>4748000</v>
      </c>
      <c r="H8" s="89">
        <f>Arkusz1!F8</f>
        <v>1608000</v>
      </c>
      <c r="I8" s="89">
        <f>Arkusz1!G8</f>
        <v>300000</v>
      </c>
      <c r="J8" s="89">
        <f>Arkusz1!H8</f>
        <v>300000</v>
      </c>
      <c r="K8" s="89">
        <f>Arkusz1!I8</f>
        <v>300000</v>
      </c>
      <c r="L8" s="89">
        <f>Arkusz1!J8</f>
        <v>300000</v>
      </c>
      <c r="M8" s="89">
        <f>Arkusz1!K8</f>
        <v>300000</v>
      </c>
      <c r="N8" s="89">
        <f>Arkusz1!L8</f>
        <v>300000</v>
      </c>
      <c r="O8" s="89">
        <f>Arkusz1!M8</f>
        <v>300000</v>
      </c>
      <c r="P8" s="89">
        <f>Arkusz1!N8</f>
        <v>300000</v>
      </c>
      <c r="Q8" s="89">
        <f>Arkusz1!O8</f>
        <v>300000</v>
      </c>
    </row>
    <row r="9" spans="1:17" ht="13.5" thickBot="1">
      <c r="A9" s="57">
        <v>4</v>
      </c>
      <c r="B9" s="90" t="s">
        <v>187</v>
      </c>
      <c r="C9" s="92">
        <v>134057</v>
      </c>
      <c r="D9" s="92"/>
      <c r="E9" s="89">
        <f>Arkusz1!C9</f>
        <v>190000</v>
      </c>
      <c r="F9" s="89">
        <f>Arkusz1!D9</f>
        <v>260000</v>
      </c>
      <c r="G9" s="89">
        <f>Arkusz1!E9</f>
        <v>422000</v>
      </c>
      <c r="H9" s="89">
        <f>Arkusz1!F9</f>
        <v>300000</v>
      </c>
      <c r="I9" s="89">
        <f>Arkusz1!G9</f>
        <v>300000</v>
      </c>
      <c r="J9" s="89">
        <f>Arkusz1!H9</f>
        <v>300000</v>
      </c>
      <c r="K9" s="89">
        <f>Arkusz1!I9</f>
        <v>300000</v>
      </c>
      <c r="L9" s="89">
        <f>Arkusz1!J9</f>
        <v>300000</v>
      </c>
      <c r="M9" s="89">
        <f>Arkusz1!K9</f>
        <v>300000</v>
      </c>
      <c r="N9" s="89">
        <f>Arkusz1!L9</f>
        <v>300000</v>
      </c>
      <c r="O9" s="89">
        <f>Arkusz1!M9</f>
        <v>300000</v>
      </c>
      <c r="P9" s="89">
        <f>Arkusz1!N9</f>
        <v>300000</v>
      </c>
      <c r="Q9" s="89">
        <f>Arkusz1!O9</f>
        <v>300000</v>
      </c>
    </row>
    <row r="10" spans="1:17" ht="13.5" thickBot="1">
      <c r="A10" s="54">
        <v>5</v>
      </c>
      <c r="B10" s="86" t="s">
        <v>138</v>
      </c>
      <c r="C10" s="87">
        <f t="shared" ref="C10:D10" si="2">SUM(C11:C12)</f>
        <v>15697643</v>
      </c>
      <c r="D10" s="87">
        <f t="shared" si="2"/>
        <v>18764729</v>
      </c>
      <c r="E10" s="87">
        <f>SUM(E11:E12)</f>
        <v>23555297.93</v>
      </c>
      <c r="F10" s="87">
        <f t="shared" ref="F10:Q10" si="3">SUM(F11:F12)</f>
        <v>18938201</v>
      </c>
      <c r="G10" s="87">
        <f t="shared" si="3"/>
        <v>15797734</v>
      </c>
      <c r="H10" s="87">
        <f t="shared" si="3"/>
        <v>17108000</v>
      </c>
      <c r="I10" s="87">
        <f t="shared" si="3"/>
        <v>16065000</v>
      </c>
      <c r="J10" s="87">
        <f t="shared" si="3"/>
        <v>16243950</v>
      </c>
      <c r="K10" s="87">
        <f t="shared" si="3"/>
        <v>16537268.5</v>
      </c>
      <c r="L10" s="87">
        <f t="shared" si="3"/>
        <v>17045386.555</v>
      </c>
      <c r="M10" s="87">
        <f t="shared" si="3"/>
        <v>17068748.15165</v>
      </c>
      <c r="N10" s="87">
        <f t="shared" si="3"/>
        <v>17407810.596199501</v>
      </c>
      <c r="O10" s="87">
        <f t="shared" si="3"/>
        <v>18163044.914085485</v>
      </c>
      <c r="P10" s="87">
        <f t="shared" si="3"/>
        <v>18704936.261508051</v>
      </c>
      <c r="Q10" s="87">
        <f t="shared" si="3"/>
        <v>19423984.349353295</v>
      </c>
    </row>
    <row r="11" spans="1:17">
      <c r="A11" s="58">
        <v>6</v>
      </c>
      <c r="B11" s="88" t="s">
        <v>139</v>
      </c>
      <c r="C11" s="89">
        <v>13260877</v>
      </c>
      <c r="D11" s="89">
        <v>14183689</v>
      </c>
      <c r="E11" s="89">
        <f>Arkusz1!C54</f>
        <v>13641657.93</v>
      </c>
      <c r="F11" s="89">
        <f>Arkusz1!D54</f>
        <v>15124569</v>
      </c>
      <c r="G11" s="89">
        <f>Arkusz1!E54</f>
        <v>14107806.15</v>
      </c>
      <c r="H11" s="89">
        <f>Arkusz1!F54</f>
        <v>13937982.92</v>
      </c>
      <c r="I11" s="89">
        <f>Arkusz1!G54</f>
        <v>14390371.557600001</v>
      </c>
      <c r="J11" s="89">
        <f>Arkusz1!H54</f>
        <v>14798231.729828002</v>
      </c>
      <c r="K11" s="89">
        <f>Arkusz1!I54</f>
        <v>15203627.707222842</v>
      </c>
      <c r="L11" s="89">
        <f>Arkusz1!J54</f>
        <v>15611935.563939527</v>
      </c>
      <c r="M11" s="89">
        <f>Arkusz1!K54</f>
        <v>16033542.656357713</v>
      </c>
      <c r="N11" s="89">
        <f>Arkusz1!L54</f>
        <v>16443847.961548446</v>
      </c>
      <c r="O11" s="89">
        <f>Arkusz1!M54</f>
        <v>16858262.425894897</v>
      </c>
      <c r="P11" s="89">
        <f>Arkusz1!N54</f>
        <v>17297209.324171744</v>
      </c>
      <c r="Q11" s="89">
        <f>Arkusz1!O54</f>
        <v>17749624.629396897</v>
      </c>
    </row>
    <row r="12" spans="1:17" ht="13.5" thickBot="1">
      <c r="A12" s="57">
        <v>7</v>
      </c>
      <c r="B12" s="90" t="s">
        <v>140</v>
      </c>
      <c r="C12" s="92">
        <v>2436766</v>
      </c>
      <c r="D12" s="92">
        <v>4581040</v>
      </c>
      <c r="E12" s="92">
        <f>Arkusz1!C40</f>
        <v>9913640</v>
      </c>
      <c r="F12" s="92">
        <f>Arkusz1!D40</f>
        <v>3813632</v>
      </c>
      <c r="G12" s="92">
        <f>Arkusz1!E40</f>
        <v>1689927.8499999996</v>
      </c>
      <c r="H12" s="92">
        <f>Arkusz1!F40</f>
        <v>3170017.08</v>
      </c>
      <c r="I12" s="92">
        <f>Arkusz1!G40</f>
        <v>1674628.4423999996</v>
      </c>
      <c r="J12" s="92">
        <f>Arkusz1!H40</f>
        <v>1445718.2701719985</v>
      </c>
      <c r="K12" s="92">
        <f>Arkusz1!I40</f>
        <v>1333640.7927771588</v>
      </c>
      <c r="L12" s="92">
        <f>Arkusz1!J40</f>
        <v>1433450.9910604735</v>
      </c>
      <c r="M12" s="92">
        <f>Arkusz1!K40</f>
        <v>1035205.4952922878</v>
      </c>
      <c r="N12" s="92">
        <f>Arkusz1!L40</f>
        <v>963962.63465105603</v>
      </c>
      <c r="O12" s="92">
        <f>Arkusz1!M40</f>
        <v>1304782.4881905862</v>
      </c>
      <c r="P12" s="92">
        <f>Arkusz1!N40</f>
        <v>1407726.9373363056</v>
      </c>
      <c r="Q12" s="92">
        <f>Arkusz1!O40</f>
        <v>1674359.7199563966</v>
      </c>
    </row>
    <row r="13" spans="1:17" ht="13.5" thickBot="1">
      <c r="A13" s="59">
        <v>8</v>
      </c>
      <c r="B13" s="93" t="s">
        <v>141</v>
      </c>
      <c r="C13" s="97">
        <f t="shared" ref="C13:D13" si="4">SUM(C14:C16)</f>
        <v>13260877</v>
      </c>
      <c r="D13" s="97">
        <f t="shared" si="4"/>
        <v>13328461</v>
      </c>
      <c r="E13" s="97">
        <f>SUM(E14:E16)</f>
        <v>13641657.93</v>
      </c>
      <c r="F13" s="97">
        <f t="shared" ref="F13:Q13" si="5">SUM(F14:F16)</f>
        <v>15124569</v>
      </c>
      <c r="G13" s="97">
        <f t="shared" si="5"/>
        <v>14107806.15</v>
      </c>
      <c r="H13" s="97">
        <f t="shared" si="5"/>
        <v>13937982.92</v>
      </c>
      <c r="I13" s="97">
        <f t="shared" si="5"/>
        <v>14390371.557600001</v>
      </c>
      <c r="J13" s="97">
        <f t="shared" si="5"/>
        <v>14798231.729828002</v>
      </c>
      <c r="K13" s="97">
        <f t="shared" si="5"/>
        <v>15203627.707222842</v>
      </c>
      <c r="L13" s="97">
        <f t="shared" si="5"/>
        <v>15611935.563939527</v>
      </c>
      <c r="M13" s="97">
        <f t="shared" si="5"/>
        <v>16033542.656357713</v>
      </c>
      <c r="N13" s="97">
        <f t="shared" si="5"/>
        <v>16443847.961548446</v>
      </c>
      <c r="O13" s="97">
        <f t="shared" si="5"/>
        <v>16858262.425894897</v>
      </c>
      <c r="P13" s="97">
        <f t="shared" si="5"/>
        <v>17297209.324171744</v>
      </c>
      <c r="Q13" s="97">
        <f t="shared" si="5"/>
        <v>17749624.629396897</v>
      </c>
    </row>
    <row r="14" spans="1:17">
      <c r="A14" s="56">
        <v>9</v>
      </c>
      <c r="B14" s="94" t="s">
        <v>142</v>
      </c>
      <c r="C14" s="91">
        <f>C11</f>
        <v>13260877</v>
      </c>
      <c r="D14" s="128">
        <f>D7</f>
        <v>13328461</v>
      </c>
      <c r="E14" s="91">
        <f>E11</f>
        <v>13641657.93</v>
      </c>
      <c r="F14" s="91">
        <f t="shared" ref="F14:Q14" si="6">F11</f>
        <v>15124569</v>
      </c>
      <c r="G14" s="91">
        <f t="shared" si="6"/>
        <v>14107806.15</v>
      </c>
      <c r="H14" s="91">
        <f t="shared" si="6"/>
        <v>13937982.92</v>
      </c>
      <c r="I14" s="91">
        <f t="shared" si="6"/>
        <v>14390371.557600001</v>
      </c>
      <c r="J14" s="91">
        <f t="shared" si="6"/>
        <v>14798231.729828002</v>
      </c>
      <c r="K14" s="91">
        <f t="shared" si="6"/>
        <v>15203627.707222842</v>
      </c>
      <c r="L14" s="91">
        <f t="shared" si="6"/>
        <v>15611935.563939527</v>
      </c>
      <c r="M14" s="91">
        <f t="shared" si="6"/>
        <v>16033542.656357713</v>
      </c>
      <c r="N14" s="91">
        <f t="shared" si="6"/>
        <v>16443847.961548446</v>
      </c>
      <c r="O14" s="91">
        <f t="shared" si="6"/>
        <v>16858262.425894897</v>
      </c>
      <c r="P14" s="91">
        <f t="shared" si="6"/>
        <v>17297209.324171744</v>
      </c>
      <c r="Q14" s="91">
        <f t="shared" si="6"/>
        <v>17749624.629396897</v>
      </c>
    </row>
    <row r="15" spans="1:17">
      <c r="A15" s="60">
        <v>10</v>
      </c>
      <c r="B15" s="95" t="s">
        <v>143</v>
      </c>
      <c r="C15" s="96">
        <v>0</v>
      </c>
      <c r="D15" s="112"/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</row>
    <row r="16" spans="1:17" ht="13.5" thickBot="1">
      <c r="A16" s="60">
        <v>11</v>
      </c>
      <c r="B16" s="95" t="s">
        <v>144</v>
      </c>
      <c r="C16" s="96">
        <v>0</v>
      </c>
      <c r="D16" s="112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</row>
    <row r="17" spans="1:17" ht="13.5" thickBot="1">
      <c r="A17" s="59">
        <v>12</v>
      </c>
      <c r="B17" s="93" t="s">
        <v>145</v>
      </c>
      <c r="C17" s="97">
        <f t="shared" ref="C17:D17" si="7">C6-C10</f>
        <v>-1467631</v>
      </c>
      <c r="D17" s="97">
        <f t="shared" si="7"/>
        <v>-2404071</v>
      </c>
      <c r="E17" s="97">
        <f>E6-E10</f>
        <v>-7687810.9299999997</v>
      </c>
      <c r="F17" s="97">
        <f t="shared" ref="F17:Q17" si="8">F6-F10</f>
        <v>-1978778</v>
      </c>
      <c r="G17" s="97">
        <f t="shared" si="8"/>
        <v>4425325</v>
      </c>
      <c r="H17" s="97">
        <f t="shared" si="8"/>
        <v>0</v>
      </c>
      <c r="I17" s="97">
        <f t="shared" si="8"/>
        <v>200000</v>
      </c>
      <c r="J17" s="97">
        <f t="shared" si="8"/>
        <v>500000</v>
      </c>
      <c r="K17" s="97">
        <f t="shared" si="8"/>
        <v>700000</v>
      </c>
      <c r="L17" s="97">
        <f t="shared" si="8"/>
        <v>700000</v>
      </c>
      <c r="M17" s="97">
        <f t="shared" si="8"/>
        <v>1200000</v>
      </c>
      <c r="N17" s="97">
        <f t="shared" si="8"/>
        <v>1400000</v>
      </c>
      <c r="O17" s="97">
        <f t="shared" si="8"/>
        <v>1200000</v>
      </c>
      <c r="P17" s="97">
        <f t="shared" si="8"/>
        <v>1230000</v>
      </c>
      <c r="Q17" s="97">
        <f t="shared" si="8"/>
        <v>1100000</v>
      </c>
    </row>
    <row r="18" spans="1:17" ht="13.5" thickBot="1">
      <c r="A18" s="59">
        <v>13</v>
      </c>
      <c r="B18" s="93" t="s">
        <v>188</v>
      </c>
      <c r="C18" s="97">
        <f>C19-C32</f>
        <v>1746232</v>
      </c>
      <c r="D18" s="97">
        <f t="shared" ref="D18:Q18" si="9">D19-D32</f>
        <v>5543449</v>
      </c>
      <c r="E18" s="97">
        <f t="shared" si="9"/>
        <v>8143078</v>
      </c>
      <c r="F18" s="97">
        <f t="shared" si="9"/>
        <v>1978778</v>
      </c>
      <c r="G18" s="97">
        <f t="shared" si="9"/>
        <v>-4425325</v>
      </c>
      <c r="H18" s="97">
        <f t="shared" si="9"/>
        <v>0</v>
      </c>
      <c r="I18" s="97">
        <f t="shared" si="9"/>
        <v>-200000</v>
      </c>
      <c r="J18" s="97">
        <f t="shared" si="9"/>
        <v>-500000</v>
      </c>
      <c r="K18" s="97">
        <f t="shared" si="9"/>
        <v>-700000</v>
      </c>
      <c r="L18" s="97">
        <f t="shared" si="9"/>
        <v>-700000</v>
      </c>
      <c r="M18" s="97">
        <f t="shared" si="9"/>
        <v>-1200000</v>
      </c>
      <c r="N18" s="97">
        <f t="shared" si="9"/>
        <v>-1400000</v>
      </c>
      <c r="O18" s="97">
        <f t="shared" si="9"/>
        <v>-1200000</v>
      </c>
      <c r="P18" s="97">
        <f t="shared" si="9"/>
        <v>-1230000</v>
      </c>
      <c r="Q18" s="97">
        <f t="shared" si="9"/>
        <v>-1100000</v>
      </c>
    </row>
    <row r="19" spans="1:17" ht="26.25" thickBot="1">
      <c r="A19" s="54">
        <v>14</v>
      </c>
      <c r="B19" s="93" t="s">
        <v>189</v>
      </c>
      <c r="C19" s="97">
        <f>SUM(C20,C22,C24:C25,C27,C29:C30)</f>
        <v>2028578</v>
      </c>
      <c r="D19" s="97">
        <f t="shared" ref="D19:Q19" si="10">SUM(D20,D22,D24:D25,D27,D29:D30)</f>
        <v>5808570</v>
      </c>
      <c r="E19" s="97">
        <f t="shared" si="10"/>
        <v>11042078</v>
      </c>
      <c r="F19" s="97">
        <f t="shared" si="10"/>
        <v>2731550</v>
      </c>
      <c r="G19" s="97">
        <f t="shared" si="10"/>
        <v>0</v>
      </c>
      <c r="H19" s="97">
        <f t="shared" si="10"/>
        <v>0</v>
      </c>
      <c r="I19" s="97">
        <f t="shared" si="10"/>
        <v>0</v>
      </c>
      <c r="J19" s="97">
        <f t="shared" si="10"/>
        <v>0</v>
      </c>
      <c r="K19" s="97">
        <f t="shared" si="10"/>
        <v>0</v>
      </c>
      <c r="L19" s="97">
        <f t="shared" si="10"/>
        <v>0</v>
      </c>
      <c r="M19" s="97">
        <f t="shared" si="10"/>
        <v>0</v>
      </c>
      <c r="N19" s="97">
        <f t="shared" si="10"/>
        <v>0</v>
      </c>
      <c r="O19" s="97">
        <f t="shared" si="10"/>
        <v>0</v>
      </c>
      <c r="P19" s="97">
        <f t="shared" si="10"/>
        <v>0</v>
      </c>
      <c r="Q19" s="97">
        <f t="shared" si="10"/>
        <v>0</v>
      </c>
    </row>
    <row r="20" spans="1:17" ht="25.5">
      <c r="A20" s="58">
        <v>15</v>
      </c>
      <c r="B20" s="98" t="s">
        <v>146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</row>
    <row r="21" spans="1:17" ht="38.25">
      <c r="A21" s="58">
        <v>16</v>
      </c>
      <c r="B21" s="61" t="s">
        <v>147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</row>
    <row r="22" spans="1:17" ht="25.5">
      <c r="A22" s="58">
        <v>17</v>
      </c>
      <c r="B22" s="99" t="s">
        <v>148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</row>
    <row r="23" spans="1:17" ht="38.25">
      <c r="A23" s="58">
        <v>18</v>
      </c>
      <c r="B23" s="62" t="s">
        <v>149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</row>
    <row r="24" spans="1:17">
      <c r="A24" s="58">
        <v>19</v>
      </c>
      <c r="B24" s="100" t="s">
        <v>190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</row>
    <row r="25" spans="1:17" ht="25.5">
      <c r="A25" s="58">
        <v>20</v>
      </c>
      <c r="B25" s="100" t="s">
        <v>191</v>
      </c>
      <c r="C25" s="96">
        <v>998978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</row>
    <row r="26" spans="1:17">
      <c r="A26" s="58">
        <v>21</v>
      </c>
      <c r="B26" s="62" t="s">
        <v>150</v>
      </c>
      <c r="C26" s="96">
        <v>744578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</row>
    <row r="27" spans="1:17" ht="38.25">
      <c r="A27" s="58">
        <v>22</v>
      </c>
      <c r="B27" s="98" t="s">
        <v>151</v>
      </c>
      <c r="C27" s="96">
        <v>1000000</v>
      </c>
      <c r="D27" s="96">
        <v>5530000</v>
      </c>
      <c r="E27" s="96">
        <f>Arkusz1!C42</f>
        <v>7902700</v>
      </c>
      <c r="F27" s="96">
        <f>Arkusz1!D42</f>
        <v>2276283</v>
      </c>
      <c r="G27" s="96">
        <f>Arkusz1!E42</f>
        <v>0</v>
      </c>
      <c r="H27" s="96">
        <f>Arkusz1!F42</f>
        <v>0</v>
      </c>
      <c r="I27" s="96">
        <f>Arkusz1!G42</f>
        <v>0</v>
      </c>
      <c r="J27" s="96">
        <f>Arkusz1!H42</f>
        <v>0</v>
      </c>
      <c r="K27" s="96">
        <f>Arkusz1!I42</f>
        <v>0</v>
      </c>
      <c r="L27" s="96">
        <f>Arkusz1!J42</f>
        <v>0</v>
      </c>
      <c r="M27" s="96">
        <f>Arkusz1!K42</f>
        <v>0</v>
      </c>
      <c r="N27" s="96">
        <f>Arkusz1!L42</f>
        <v>0</v>
      </c>
      <c r="O27" s="96">
        <f>Arkusz1!M42</f>
        <v>0</v>
      </c>
      <c r="P27" s="96">
        <f>Arkusz1!N42</f>
        <v>0</v>
      </c>
      <c r="Q27" s="96">
        <f>Arkusz1!O42</f>
        <v>0</v>
      </c>
    </row>
    <row r="28" spans="1:17" ht="38.25">
      <c r="A28" s="58">
        <v>23</v>
      </c>
      <c r="B28" s="61" t="s">
        <v>152</v>
      </c>
      <c r="C28" s="96">
        <v>0</v>
      </c>
      <c r="D28" s="96">
        <v>2104616</v>
      </c>
      <c r="E28" s="96">
        <v>5888000</v>
      </c>
      <c r="F28" s="96">
        <v>357000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A29" s="58">
        <v>24</v>
      </c>
      <c r="B29" s="98" t="s">
        <v>153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</row>
    <row r="30" spans="1:17" ht="25.5">
      <c r="A30" s="58">
        <v>25</v>
      </c>
      <c r="B30" s="98" t="s">
        <v>154</v>
      </c>
      <c r="C30" s="96">
        <v>29600</v>
      </c>
      <c r="D30" s="96">
        <v>278570</v>
      </c>
      <c r="E30" s="96">
        <f>Arkusz1!C17</f>
        <v>3139378</v>
      </c>
      <c r="F30" s="96">
        <f>Arkusz1!D17</f>
        <v>455267</v>
      </c>
      <c r="G30" s="96">
        <f>Arkusz1!E17</f>
        <v>0</v>
      </c>
      <c r="H30" s="96">
        <f>Arkusz1!F17</f>
        <v>0</v>
      </c>
      <c r="I30" s="96">
        <f>Arkusz1!G17</f>
        <v>0</v>
      </c>
      <c r="J30" s="96">
        <f>Arkusz1!H17</f>
        <v>0</v>
      </c>
      <c r="K30" s="96">
        <f>Arkusz1!I17</f>
        <v>0</v>
      </c>
      <c r="L30" s="96">
        <f>Arkusz1!J17</f>
        <v>0</v>
      </c>
      <c r="M30" s="96">
        <f>Arkusz1!K17</f>
        <v>0</v>
      </c>
      <c r="N30" s="96">
        <f>Arkusz1!L17</f>
        <v>0</v>
      </c>
      <c r="O30" s="96">
        <f>Arkusz1!M17</f>
        <v>0</v>
      </c>
      <c r="P30" s="96">
        <f>Arkusz1!N17</f>
        <v>0</v>
      </c>
      <c r="Q30" s="96">
        <f>Arkusz1!O17</f>
        <v>0</v>
      </c>
    </row>
    <row r="31" spans="1:17" ht="13.5" thickBot="1">
      <c r="A31" s="63">
        <v>26</v>
      </c>
      <c r="B31" s="64" t="s">
        <v>155</v>
      </c>
      <c r="C31" s="101">
        <v>0</v>
      </c>
      <c r="D31" s="101">
        <v>278570</v>
      </c>
      <c r="E31" s="96">
        <f>Arkusz1!C18</f>
        <v>3139378</v>
      </c>
      <c r="F31" s="96">
        <f>Arkusz1!D18</f>
        <v>455267</v>
      </c>
      <c r="G31" s="96">
        <f>Arkusz1!E18</f>
        <v>0</v>
      </c>
      <c r="H31" s="96">
        <f>Arkusz1!F18</f>
        <v>0</v>
      </c>
      <c r="I31" s="96">
        <f>Arkusz1!G18</f>
        <v>0</v>
      </c>
      <c r="J31" s="96">
        <f>Arkusz1!H18</f>
        <v>0</v>
      </c>
      <c r="K31" s="96">
        <f>Arkusz1!I18</f>
        <v>0</v>
      </c>
      <c r="L31" s="96">
        <f>Arkusz1!J18</f>
        <v>0</v>
      </c>
      <c r="M31" s="96">
        <f>Arkusz1!K18</f>
        <v>0</v>
      </c>
      <c r="N31" s="96">
        <f>Arkusz1!L18</f>
        <v>0</v>
      </c>
      <c r="O31" s="96">
        <f>Arkusz1!M18</f>
        <v>0</v>
      </c>
      <c r="P31" s="96">
        <f>Arkusz1!N18</f>
        <v>0</v>
      </c>
      <c r="Q31" s="96">
        <f>Arkusz1!O18</f>
        <v>0</v>
      </c>
    </row>
    <row r="32" spans="1:17" ht="26.25" thickBot="1">
      <c r="A32" s="54">
        <v>27</v>
      </c>
      <c r="B32" s="93" t="s">
        <v>192</v>
      </c>
      <c r="C32" s="97">
        <f>SUM(C33,C35,C37:C39,C41:C42)</f>
        <v>282346</v>
      </c>
      <c r="D32" s="97">
        <f>SUM(D33,D35,D37:D39,D41)</f>
        <v>265121</v>
      </c>
      <c r="E32" s="97">
        <f t="shared" ref="E32:Q32" si="11">SUM(E33,E35,E37:E39,E41:E42)</f>
        <v>2899000</v>
      </c>
      <c r="F32" s="97">
        <f t="shared" si="11"/>
        <v>752772</v>
      </c>
      <c r="G32" s="97">
        <f t="shared" si="11"/>
        <v>4425325</v>
      </c>
      <c r="H32" s="97">
        <f t="shared" si="11"/>
        <v>0</v>
      </c>
      <c r="I32" s="97">
        <f t="shared" si="11"/>
        <v>200000</v>
      </c>
      <c r="J32" s="97">
        <f t="shared" si="11"/>
        <v>500000</v>
      </c>
      <c r="K32" s="97">
        <f t="shared" si="11"/>
        <v>700000</v>
      </c>
      <c r="L32" s="97">
        <f t="shared" si="11"/>
        <v>700000</v>
      </c>
      <c r="M32" s="97">
        <f t="shared" si="11"/>
        <v>1200000</v>
      </c>
      <c r="N32" s="97">
        <f t="shared" si="11"/>
        <v>1400000</v>
      </c>
      <c r="O32" s="97">
        <f t="shared" si="11"/>
        <v>1200000</v>
      </c>
      <c r="P32" s="97">
        <f t="shared" si="11"/>
        <v>1230000</v>
      </c>
      <c r="Q32" s="97">
        <f t="shared" si="11"/>
        <v>1100000</v>
      </c>
    </row>
    <row r="33" spans="1:17" ht="25.5">
      <c r="A33" s="55">
        <v>28</v>
      </c>
      <c r="B33" s="98" t="s">
        <v>156</v>
      </c>
      <c r="C33" s="96">
        <v>198346</v>
      </c>
      <c r="D33" s="96">
        <v>181121</v>
      </c>
      <c r="E33" s="96">
        <f>Arkusz1!C24</f>
        <v>185000</v>
      </c>
      <c r="F33" s="96">
        <f>Arkusz1!D24</f>
        <v>218000</v>
      </c>
      <c r="G33" s="96">
        <f>Arkusz1!E24</f>
        <v>80325</v>
      </c>
      <c r="H33" s="96">
        <f>Arkusz1!F24</f>
        <v>0</v>
      </c>
      <c r="I33" s="96">
        <f>Arkusz1!G24</f>
        <v>0</v>
      </c>
      <c r="J33" s="96">
        <f>Arkusz1!H24</f>
        <v>0</v>
      </c>
      <c r="K33" s="96">
        <f>Arkusz1!I24</f>
        <v>0</v>
      </c>
      <c r="L33" s="96">
        <f>Arkusz1!J24</f>
        <v>0</v>
      </c>
      <c r="M33" s="96">
        <f>Arkusz1!K24</f>
        <v>0</v>
      </c>
      <c r="N33" s="96">
        <f>Arkusz1!L24</f>
        <v>0</v>
      </c>
      <c r="O33" s="96">
        <f>Arkusz1!M24</f>
        <v>0</v>
      </c>
      <c r="P33" s="96">
        <f>Arkusz1!N24</f>
        <v>0</v>
      </c>
      <c r="Q33" s="96">
        <f>Arkusz1!O24</f>
        <v>0</v>
      </c>
    </row>
    <row r="34" spans="1:17" ht="38.25">
      <c r="A34" s="57">
        <v>29</v>
      </c>
      <c r="B34" s="61" t="s">
        <v>157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</row>
    <row r="35" spans="1:17" ht="25.5">
      <c r="A35" s="58">
        <v>30</v>
      </c>
      <c r="B35" s="102" t="s">
        <v>158</v>
      </c>
      <c r="C35" s="96">
        <v>84000</v>
      </c>
      <c r="D35" s="96">
        <v>84000</v>
      </c>
      <c r="E35" s="96">
        <f>Arkusz1!C23</f>
        <v>84000</v>
      </c>
      <c r="F35" s="96">
        <f>Arkusz1!D23</f>
        <v>34772</v>
      </c>
      <c r="G35" s="96">
        <f>Arkusz1!E23</f>
        <v>0</v>
      </c>
      <c r="H35" s="96">
        <f>Arkusz1!F23</f>
        <v>0</v>
      </c>
      <c r="I35" s="96">
        <f>Arkusz1!G23</f>
        <v>0</v>
      </c>
      <c r="J35" s="96">
        <f>Arkusz1!H23</f>
        <v>0</v>
      </c>
      <c r="K35" s="96">
        <f>Arkusz1!I23</f>
        <v>0</v>
      </c>
      <c r="L35" s="96">
        <f>Arkusz1!J23</f>
        <v>0</v>
      </c>
      <c r="M35" s="96">
        <f>Arkusz1!K23</f>
        <v>0</v>
      </c>
      <c r="N35" s="96">
        <f>Arkusz1!L23</f>
        <v>0</v>
      </c>
      <c r="O35" s="96">
        <f>Arkusz1!M23</f>
        <v>0</v>
      </c>
      <c r="P35" s="96">
        <f>Arkusz1!N23</f>
        <v>0</v>
      </c>
      <c r="Q35" s="96">
        <f>Arkusz1!O23</f>
        <v>0</v>
      </c>
    </row>
    <row r="36" spans="1:17" ht="38.25">
      <c r="A36" s="58">
        <v>31</v>
      </c>
      <c r="B36" s="62" t="s">
        <v>159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</row>
    <row r="37" spans="1:17">
      <c r="A37" s="58">
        <v>32</v>
      </c>
      <c r="B37" s="100" t="s">
        <v>193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</row>
    <row r="38" spans="1:17">
      <c r="A38" s="57">
        <v>33</v>
      </c>
      <c r="B38" s="100" t="s">
        <v>194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</row>
    <row r="39" spans="1:17" ht="25.5">
      <c r="A39" s="58">
        <v>34</v>
      </c>
      <c r="B39" s="98" t="s">
        <v>160</v>
      </c>
      <c r="C39" s="96">
        <v>0</v>
      </c>
      <c r="D39" s="96">
        <v>0</v>
      </c>
      <c r="E39" s="96">
        <f>SUM(Arkusz1!C25:C29)</f>
        <v>2630000</v>
      </c>
      <c r="F39" s="96">
        <f>SUM(Arkusz1!D25:D29)</f>
        <v>500000</v>
      </c>
      <c r="G39" s="96">
        <f>SUM(Arkusz1!E25:E29)</f>
        <v>4345000</v>
      </c>
      <c r="H39" s="96">
        <f>SUM(Arkusz1!F25:F29)</f>
        <v>0</v>
      </c>
      <c r="I39" s="96">
        <f>SUM(Arkusz1!G25:G29)</f>
        <v>200000</v>
      </c>
      <c r="J39" s="96">
        <f>SUM(Arkusz1!H25:H29)</f>
        <v>500000</v>
      </c>
      <c r="K39" s="96">
        <f>SUM(Arkusz1!I25:I29)</f>
        <v>700000</v>
      </c>
      <c r="L39" s="96">
        <f>SUM(Arkusz1!J25:J29)</f>
        <v>700000</v>
      </c>
      <c r="M39" s="96">
        <f>SUM(Arkusz1!K25:K29)</f>
        <v>1200000</v>
      </c>
      <c r="N39" s="96">
        <f>SUM(Arkusz1!L25:L29)</f>
        <v>1400000</v>
      </c>
      <c r="O39" s="96">
        <f>SUM(Arkusz1!M25:M29)</f>
        <v>1200000</v>
      </c>
      <c r="P39" s="96">
        <f>SUM(Arkusz1!N25:N29)</f>
        <v>1230000</v>
      </c>
      <c r="Q39" s="96">
        <f>SUM(Arkusz1!O25:O29)</f>
        <v>1100000</v>
      </c>
    </row>
    <row r="40" spans="1:17" ht="38.25">
      <c r="A40" s="57">
        <v>35</v>
      </c>
      <c r="B40" s="61" t="s">
        <v>161</v>
      </c>
      <c r="C40" s="96">
        <v>0</v>
      </c>
      <c r="D40" s="96">
        <v>0</v>
      </c>
      <c r="E40" s="96">
        <v>1893532</v>
      </c>
      <c r="F40" s="96">
        <f>Arkusz1!D47</f>
        <v>0</v>
      </c>
      <c r="G40" s="96">
        <f>Arkusz1!E47</f>
        <v>3855000</v>
      </c>
      <c r="H40" s="96">
        <f>Arkusz1!F47</f>
        <v>0</v>
      </c>
      <c r="I40" s="96">
        <f>Arkusz1!G47</f>
        <v>0</v>
      </c>
      <c r="J40" s="96">
        <f>Arkusz1!H47</f>
        <v>0</v>
      </c>
      <c r="K40" s="96">
        <f>Arkusz1!I47</f>
        <v>0</v>
      </c>
      <c r="L40" s="96">
        <f>Arkusz1!J47</f>
        <v>0</v>
      </c>
      <c r="M40" s="96">
        <f>Arkusz1!K47</f>
        <v>0</v>
      </c>
      <c r="N40" s="96">
        <f>Arkusz1!L47</f>
        <v>0</v>
      </c>
      <c r="O40" s="96">
        <f>Arkusz1!M47</f>
        <v>0</v>
      </c>
      <c r="P40" s="96">
        <f>Arkusz1!N47</f>
        <v>0</v>
      </c>
      <c r="Q40" s="96">
        <f>Arkusz1!O47</f>
        <v>0</v>
      </c>
    </row>
    <row r="41" spans="1:17">
      <c r="A41" s="58">
        <v>36</v>
      </c>
      <c r="B41" s="98" t="s">
        <v>162</v>
      </c>
      <c r="C41" s="96">
        <v>0</v>
      </c>
      <c r="D41" s="96"/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</row>
    <row r="42" spans="1:17" ht="13.5" thickBot="1">
      <c r="A42" s="63">
        <v>37</v>
      </c>
      <c r="B42" s="103" t="s">
        <v>212</v>
      </c>
      <c r="C42" s="104">
        <v>0</v>
      </c>
      <c r="D42" s="104">
        <v>14417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</row>
    <row r="43" spans="1:17" ht="26.25" thickBot="1">
      <c r="A43" s="54">
        <v>38</v>
      </c>
      <c r="B43" s="93" t="s">
        <v>195</v>
      </c>
      <c r="C43" s="87">
        <f t="shared" ref="C43:D43" si="12">SUM(C44:C49,C52)</f>
        <v>1830635</v>
      </c>
      <c r="D43" s="87">
        <f t="shared" si="12"/>
        <v>7130347</v>
      </c>
      <c r="E43" s="87">
        <f>SUM(E44:E49,E52)</f>
        <v>12175197</v>
      </c>
      <c r="F43" s="87">
        <f t="shared" ref="F43:Q43" si="13">SUM(F44:F49,F52)</f>
        <v>12684875</v>
      </c>
      <c r="G43" s="87">
        <f>SUM(G44:G49,G52)-G55</f>
        <v>8249700</v>
      </c>
      <c r="H43" s="87">
        <f t="shared" si="13"/>
        <v>8273100</v>
      </c>
      <c r="I43" s="87">
        <f t="shared" si="13"/>
        <v>8030000</v>
      </c>
      <c r="J43" s="87">
        <f t="shared" si="13"/>
        <v>7530000</v>
      </c>
      <c r="K43" s="87">
        <f t="shared" si="13"/>
        <v>6830000</v>
      </c>
      <c r="L43" s="87">
        <f t="shared" si="13"/>
        <v>6130000</v>
      </c>
      <c r="M43" s="87">
        <f t="shared" si="13"/>
        <v>4930000</v>
      </c>
      <c r="N43" s="87">
        <f t="shared" si="13"/>
        <v>3530000</v>
      </c>
      <c r="O43" s="87">
        <f t="shared" si="13"/>
        <v>2330000</v>
      </c>
      <c r="P43" s="87">
        <f t="shared" si="13"/>
        <v>1100000</v>
      </c>
      <c r="Q43" s="87">
        <f t="shared" si="13"/>
        <v>0</v>
      </c>
    </row>
    <row r="44" spans="1:17">
      <c r="A44" s="65">
        <v>39</v>
      </c>
      <c r="B44" s="105" t="s">
        <v>163</v>
      </c>
      <c r="C44" s="106">
        <v>1000000</v>
      </c>
      <c r="D44" s="106">
        <f>C44+D27-D52</f>
        <v>4387774</v>
      </c>
      <c r="E44" s="106">
        <f>SUM(Arkusz1!D25:O28)-E55</f>
        <v>6550306</v>
      </c>
      <c r="F44" s="106">
        <f>SUM(Arkusz1!E25:$O$29)-F55</f>
        <v>6383936</v>
      </c>
      <c r="G44" s="106">
        <f>SUM(Arkusz1!F25:$O$29)</f>
        <v>8230000</v>
      </c>
      <c r="H44" s="106">
        <f>SUM(Arkusz1!G25:$O$29)</f>
        <v>8230000</v>
      </c>
      <c r="I44" s="106">
        <f>SUM(Arkusz1!H25:$O$29)</f>
        <v>8030000</v>
      </c>
      <c r="J44" s="106">
        <f>SUM(Arkusz1!I25:$O$29)</f>
        <v>7530000</v>
      </c>
      <c r="K44" s="106">
        <f>SUM(Arkusz1!J25:$O$29)</f>
        <v>6830000</v>
      </c>
      <c r="L44" s="106">
        <f>SUM(Arkusz1!K25:$O$29)</f>
        <v>6130000</v>
      </c>
      <c r="M44" s="106">
        <f>SUM(Arkusz1!L25:$O$29)</f>
        <v>4930000</v>
      </c>
      <c r="N44" s="106">
        <f>SUM(Arkusz1!M25:$O$29)</f>
        <v>3530000</v>
      </c>
      <c r="O44" s="106">
        <f>SUM(Arkusz1!N25:$O$29)</f>
        <v>2330000</v>
      </c>
      <c r="P44" s="106">
        <f>SUM(Arkusz1!O25:$O$29)</f>
        <v>1100000</v>
      </c>
      <c r="Q44" s="106">
        <v>0</v>
      </c>
    </row>
    <row r="45" spans="1:17">
      <c r="A45" s="58">
        <v>40</v>
      </c>
      <c r="B45" s="107" t="s">
        <v>164</v>
      </c>
      <c r="C45" s="96">
        <v>627863</v>
      </c>
      <c r="D45" s="96">
        <f>C45-D33-D42</f>
        <v>432325</v>
      </c>
      <c r="E45" s="96">
        <f>SUM(Arkusz1!D24:$O$24)</f>
        <v>298325</v>
      </c>
      <c r="F45" s="96">
        <f>SUM(Arkusz1!E24:$O$24)</f>
        <v>80325</v>
      </c>
      <c r="G45" s="96">
        <f>SUM(Arkusz1!F24:$O$24)</f>
        <v>0</v>
      </c>
      <c r="H45" s="96">
        <f>SUM(Arkusz1!G24:$O$24)</f>
        <v>0</v>
      </c>
      <c r="I45" s="96">
        <f>SUM(Arkusz1!H24:$O$24)</f>
        <v>0</v>
      </c>
      <c r="J45" s="96">
        <f>SUM(Arkusz1!I24:$O$24)</f>
        <v>0</v>
      </c>
      <c r="K45" s="96">
        <f>SUM(Arkusz1!J24:$O$24)</f>
        <v>0</v>
      </c>
      <c r="L45" s="96">
        <f>SUM(Arkusz1!K24:$O$24)</f>
        <v>0</v>
      </c>
      <c r="M45" s="96">
        <f>SUM(Arkusz1!L24:$O$24)</f>
        <v>0</v>
      </c>
      <c r="N45" s="96">
        <f>SUM(Arkusz1!M24:$O$24)</f>
        <v>0</v>
      </c>
      <c r="O45" s="96">
        <f>SUM(Arkusz1!N24:$O$24)</f>
        <v>0</v>
      </c>
      <c r="P45" s="96">
        <f>SUM(Arkusz1!O24:$O$24)</f>
        <v>0</v>
      </c>
      <c r="Q45" s="96">
        <f>SUM(Arkusz1!$O24:P$24)</f>
        <v>0</v>
      </c>
    </row>
    <row r="46" spans="1:17">
      <c r="A46" s="58">
        <v>41</v>
      </c>
      <c r="B46" s="108" t="s">
        <v>165</v>
      </c>
      <c r="C46" s="96">
        <v>202772</v>
      </c>
      <c r="D46" s="96">
        <f>C46-D35</f>
        <v>118772</v>
      </c>
      <c r="E46" s="96">
        <f>SUM(Arkusz1!D23:$O$23)</f>
        <v>34772</v>
      </c>
      <c r="F46" s="96">
        <f>SUM(Arkusz1!E23:$O$23)</f>
        <v>0</v>
      </c>
      <c r="G46" s="96">
        <f>SUM(Arkusz1!F23:$O$23)</f>
        <v>0</v>
      </c>
      <c r="H46" s="96">
        <f>SUM(Arkusz1!G23:$O$23)</f>
        <v>0</v>
      </c>
      <c r="I46" s="96">
        <f>SUM(Arkusz1!H23:$O$23)</f>
        <v>0</v>
      </c>
      <c r="J46" s="96">
        <f>SUM(Arkusz1!I23:$O$23)</f>
        <v>0</v>
      </c>
      <c r="K46" s="96">
        <f>SUM(Arkusz1!J23:$O$23)</f>
        <v>0</v>
      </c>
      <c r="L46" s="96">
        <f>SUM(Arkusz1!K23:$O$23)</f>
        <v>0</v>
      </c>
      <c r="M46" s="96">
        <f>SUM(Arkusz1!L23:$O$23)</f>
        <v>0</v>
      </c>
      <c r="N46" s="96">
        <f>SUM(Arkusz1!M23:$O$23)</f>
        <v>0</v>
      </c>
      <c r="O46" s="96">
        <f>SUM(Arkusz1!N23:$O$23)</f>
        <v>0</v>
      </c>
      <c r="P46" s="96">
        <f>SUM(Arkusz1!O23:$O$23)</f>
        <v>0</v>
      </c>
      <c r="Q46" s="96">
        <f>SUM(Arkusz1!$O23:P$23)</f>
        <v>0</v>
      </c>
    </row>
    <row r="47" spans="1:17" ht="27">
      <c r="A47" s="58">
        <v>42</v>
      </c>
      <c r="B47" s="109" t="s">
        <v>196</v>
      </c>
      <c r="C47" s="96">
        <v>0</v>
      </c>
      <c r="D47" s="96">
        <v>49250</v>
      </c>
      <c r="E47" s="96">
        <f>D47-9850</f>
        <v>39400</v>
      </c>
      <c r="F47" s="96">
        <f>E47-9850</f>
        <v>29550</v>
      </c>
      <c r="G47" s="96">
        <f t="shared" ref="G47:I47" si="14">F47-9850</f>
        <v>19700</v>
      </c>
      <c r="H47" s="96">
        <f t="shared" si="14"/>
        <v>9850</v>
      </c>
      <c r="I47" s="96">
        <f t="shared" si="14"/>
        <v>0</v>
      </c>
      <c r="J47" s="96"/>
      <c r="K47" s="96"/>
      <c r="L47" s="96"/>
      <c r="M47" s="96"/>
      <c r="N47" s="96"/>
      <c r="O47" s="96"/>
      <c r="P47" s="96"/>
      <c r="Q47" s="96"/>
    </row>
    <row r="48" spans="1:17" ht="14.25">
      <c r="A48" s="58">
        <v>43</v>
      </c>
      <c r="B48" s="108" t="s">
        <v>197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</row>
    <row r="49" spans="1:17">
      <c r="A49" s="58">
        <v>44</v>
      </c>
      <c r="B49" s="109" t="s">
        <v>198</v>
      </c>
      <c r="C49" s="110">
        <v>0</v>
      </c>
      <c r="D49" s="110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</row>
    <row r="50" spans="1:17" ht="25.5">
      <c r="A50" s="58">
        <v>45</v>
      </c>
      <c r="B50" s="66" t="s">
        <v>166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</row>
    <row r="51" spans="1:17" ht="25.5">
      <c r="A51" s="58">
        <v>46</v>
      </c>
      <c r="B51" s="67" t="s">
        <v>167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</row>
    <row r="52" spans="1:17" ht="51">
      <c r="A52" s="298">
        <v>47</v>
      </c>
      <c r="B52" s="111" t="s">
        <v>168</v>
      </c>
      <c r="C52" s="112">
        <v>0</v>
      </c>
      <c r="D52" s="112">
        <f>SUM(D53:D55)</f>
        <v>2142226</v>
      </c>
      <c r="E52" s="112">
        <f>SUM(E53:E55)</f>
        <v>5252394</v>
      </c>
      <c r="F52" s="112">
        <f t="shared" ref="F52:Q52" si="15">SUM(F53:F55)</f>
        <v>6191064</v>
      </c>
      <c r="G52" s="112">
        <f t="shared" si="15"/>
        <v>33250</v>
      </c>
      <c r="H52" s="112">
        <f t="shared" si="15"/>
        <v>33250</v>
      </c>
      <c r="I52" s="112">
        <f t="shared" si="15"/>
        <v>0</v>
      </c>
      <c r="J52" s="112">
        <f t="shared" si="15"/>
        <v>0</v>
      </c>
      <c r="K52" s="112">
        <f t="shared" si="15"/>
        <v>0</v>
      </c>
      <c r="L52" s="112">
        <f t="shared" si="15"/>
        <v>0</v>
      </c>
      <c r="M52" s="112">
        <f t="shared" si="15"/>
        <v>0</v>
      </c>
      <c r="N52" s="112">
        <f t="shared" si="15"/>
        <v>0</v>
      </c>
      <c r="O52" s="112">
        <f t="shared" si="15"/>
        <v>0</v>
      </c>
      <c r="P52" s="112">
        <f t="shared" si="15"/>
        <v>0</v>
      </c>
      <c r="Q52" s="112">
        <f t="shared" si="15"/>
        <v>0</v>
      </c>
    </row>
    <row r="53" spans="1:17">
      <c r="A53" s="289"/>
      <c r="B53" s="68" t="s">
        <v>169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</row>
    <row r="54" spans="1:17">
      <c r="A54" s="289"/>
      <c r="B54" s="68" t="s">
        <v>170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</row>
    <row r="55" spans="1:17" ht="13.5" thickBot="1">
      <c r="A55" s="289"/>
      <c r="B55" s="68" t="s">
        <v>171</v>
      </c>
      <c r="C55" s="113">
        <v>0</v>
      </c>
      <c r="D55" s="113">
        <v>2142226</v>
      </c>
      <c r="E55" s="113">
        <f>Arkusz1!C46</f>
        <v>5252394</v>
      </c>
      <c r="F55" s="113">
        <f>Arkusz1!D46</f>
        <v>6191064</v>
      </c>
      <c r="G55" s="113">
        <f>Arkusz1!E46</f>
        <v>33250</v>
      </c>
      <c r="H55" s="113">
        <f>Arkusz1!F46</f>
        <v>33250</v>
      </c>
      <c r="I55" s="113">
        <f>Arkusz1!G46</f>
        <v>0</v>
      </c>
      <c r="J55" s="113">
        <f>Arkusz1!H46</f>
        <v>0</v>
      </c>
      <c r="K55" s="113">
        <f>Arkusz1!I46</f>
        <v>0</v>
      </c>
      <c r="L55" s="113">
        <f>Arkusz1!J46</f>
        <v>0</v>
      </c>
      <c r="M55" s="113">
        <f>Arkusz1!K46</f>
        <v>0</v>
      </c>
      <c r="N55" s="113">
        <f>Arkusz1!L46</f>
        <v>0</v>
      </c>
      <c r="O55" s="113">
        <f>Arkusz1!M46</f>
        <v>0</v>
      </c>
      <c r="P55" s="113">
        <f>Arkusz1!N46</f>
        <v>0</v>
      </c>
      <c r="Q55" s="113">
        <f>Arkusz1!O46</f>
        <v>0</v>
      </c>
    </row>
    <row r="56" spans="1:17" ht="26.25" thickBot="1">
      <c r="A56" s="54">
        <v>48</v>
      </c>
      <c r="B56" s="93" t="s">
        <v>199</v>
      </c>
      <c r="C56" s="140">
        <f>C43/C6</f>
        <v>0.12864606157746036</v>
      </c>
      <c r="D56" s="140">
        <f t="shared" ref="D56:G56" si="16">D43/D6</f>
        <v>0.43582275236118256</v>
      </c>
      <c r="E56" s="140">
        <f t="shared" si="16"/>
        <v>0.76730467779806599</v>
      </c>
      <c r="F56" s="140">
        <f t="shared" si="16"/>
        <v>0.74795439679757969</v>
      </c>
      <c r="G56" s="140">
        <f t="shared" si="16"/>
        <v>0.4079353177973718</v>
      </c>
      <c r="H56" s="114"/>
      <c r="I56" s="115"/>
      <c r="J56" s="114"/>
      <c r="K56" s="115"/>
      <c r="L56" s="114"/>
      <c r="M56" s="115"/>
      <c r="N56" s="114"/>
      <c r="O56" s="115"/>
      <c r="P56" s="114"/>
      <c r="Q56" s="115"/>
    </row>
    <row r="57" spans="1:17" ht="26.25" thickBot="1">
      <c r="A57" s="69">
        <v>49</v>
      </c>
      <c r="B57" s="116" t="s">
        <v>200</v>
      </c>
      <c r="C57" s="141">
        <f>(C43-C52)/C6</f>
        <v>0.12864606157746036</v>
      </c>
      <c r="D57" s="141">
        <f t="shared" ref="D57:G57" si="17">(D43-D52)/D6</f>
        <v>0.30488510914414324</v>
      </c>
      <c r="E57" s="141">
        <f t="shared" si="17"/>
        <v>0.43628855659374416</v>
      </c>
      <c r="F57" s="141">
        <f t="shared" si="17"/>
        <v>0.38290282635205219</v>
      </c>
      <c r="G57" s="141">
        <f t="shared" si="17"/>
        <v>0.40629115506214958</v>
      </c>
      <c r="H57" s="118"/>
      <c r="I57" s="119"/>
      <c r="J57" s="118"/>
      <c r="K57" s="119"/>
      <c r="L57" s="118"/>
      <c r="M57" s="119"/>
      <c r="N57" s="118"/>
      <c r="O57" s="119"/>
      <c r="P57" s="118"/>
      <c r="Q57" s="119"/>
    </row>
    <row r="58" spans="1:17" ht="26.25" thickBot="1">
      <c r="A58" s="54">
        <v>50</v>
      </c>
      <c r="B58" s="93" t="s">
        <v>201</v>
      </c>
      <c r="C58" s="87">
        <f t="shared" ref="C58:D58" si="18">SUM(C59:C64)</f>
        <v>335246</v>
      </c>
      <c r="D58" s="87">
        <f t="shared" si="18"/>
        <v>371879</v>
      </c>
      <c r="E58" s="87">
        <f>SUM(E59:E64)</f>
        <v>3322500</v>
      </c>
      <c r="F58" s="87">
        <f t="shared" ref="F58:Q58" si="19">SUM(F59:F64)</f>
        <v>1421892</v>
      </c>
      <c r="G58" s="87">
        <f t="shared" si="19"/>
        <v>5144039.1500000004</v>
      </c>
      <c r="H58" s="87">
        <f t="shared" si="19"/>
        <v>415000</v>
      </c>
      <c r="I58" s="87">
        <f t="shared" si="19"/>
        <v>661699.15</v>
      </c>
      <c r="J58" s="87">
        <f t="shared" si="19"/>
        <v>951699.15</v>
      </c>
      <c r="K58" s="87">
        <f t="shared" si="19"/>
        <v>1126699.1499999999</v>
      </c>
      <c r="L58" s="87">
        <f t="shared" si="19"/>
        <v>1091699.1499999999</v>
      </c>
      <c r="M58" s="87">
        <f t="shared" si="19"/>
        <v>1556699.15</v>
      </c>
      <c r="N58" s="87">
        <f t="shared" si="19"/>
        <v>1696699.15</v>
      </c>
      <c r="O58" s="87">
        <f t="shared" si="19"/>
        <v>1426699.15</v>
      </c>
      <c r="P58" s="87">
        <f t="shared" si="19"/>
        <v>1396699.15</v>
      </c>
      <c r="Q58" s="87">
        <f t="shared" si="19"/>
        <v>1205199.1499999999</v>
      </c>
    </row>
    <row r="59" spans="1:17" ht="25.5">
      <c r="A59" s="58">
        <v>51</v>
      </c>
      <c r="B59" s="109" t="s">
        <v>202</v>
      </c>
      <c r="C59" s="112">
        <v>246346</v>
      </c>
      <c r="D59" s="112">
        <f>D33+18902</f>
        <v>200023</v>
      </c>
      <c r="E59" s="112">
        <f>SUM(Arkusz1!C23,Arkusz1!C31)</f>
        <v>85500</v>
      </c>
      <c r="F59" s="112">
        <f>SUM(Arkusz1!D23,Arkusz1!D31)</f>
        <v>34946</v>
      </c>
      <c r="G59" s="112">
        <f>SUM(Arkusz1!E23,Arkusz1!E31)</f>
        <v>0</v>
      </c>
      <c r="H59" s="112">
        <f>SUM(Arkusz1!F23,Arkusz1!F31)</f>
        <v>0</v>
      </c>
      <c r="I59" s="112">
        <f>SUM(Arkusz1!G23,Arkusz1!G31)</f>
        <v>0</v>
      </c>
      <c r="J59" s="112">
        <f>SUM(Arkusz1!H23,Arkusz1!H31)</f>
        <v>0</v>
      </c>
      <c r="K59" s="112">
        <f>SUM(Arkusz1!I23,Arkusz1!I31)</f>
        <v>0</v>
      </c>
      <c r="L59" s="112">
        <f>SUM(Arkusz1!J23,Arkusz1!J31)</f>
        <v>0</v>
      </c>
      <c r="M59" s="112">
        <f>SUM(Arkusz1!K23,Arkusz1!K31)</f>
        <v>0</v>
      </c>
      <c r="N59" s="112">
        <f>SUM(Arkusz1!L23,Arkusz1!L31)</f>
        <v>0</v>
      </c>
      <c r="O59" s="112">
        <f>SUM(Arkusz1!M23,Arkusz1!M31)</f>
        <v>0</v>
      </c>
      <c r="P59" s="112">
        <f>SUM(Arkusz1!N23,Arkusz1!N31)</f>
        <v>0</v>
      </c>
      <c r="Q59" s="112">
        <f>SUM(Arkusz1!O23,Arkusz1!O31)</f>
        <v>0</v>
      </c>
    </row>
    <row r="60" spans="1:17" ht="25.5">
      <c r="A60" s="58">
        <v>52</v>
      </c>
      <c r="B60" s="109" t="s">
        <v>203</v>
      </c>
      <c r="C60" s="112">
        <v>88900</v>
      </c>
      <c r="D60" s="112">
        <f>D35+3344</f>
        <v>87344</v>
      </c>
      <c r="E60" s="112">
        <f>SUM(Arkusz1!C24,Arkusz1!C32)</f>
        <v>200000</v>
      </c>
      <c r="F60" s="112">
        <f>SUM(Arkusz1!D24,Arkusz1!D32)</f>
        <v>231500</v>
      </c>
      <c r="G60" s="112">
        <f>SUM(Arkusz1!E24,Arkusz1!E32)</f>
        <v>82225</v>
      </c>
      <c r="H60" s="112">
        <f>SUM(Arkusz1!F24,Arkusz1!F32)</f>
        <v>0</v>
      </c>
      <c r="I60" s="112">
        <f>SUM(Arkusz1!G24,Arkusz1!G32)</f>
        <v>0</v>
      </c>
      <c r="J60" s="112">
        <f>SUM(Arkusz1!H24,Arkusz1!H32)</f>
        <v>0</v>
      </c>
      <c r="K60" s="112">
        <f>SUM(Arkusz1!I24,Arkusz1!I32)</f>
        <v>0</v>
      </c>
      <c r="L60" s="112">
        <f>SUM(Arkusz1!J24,Arkusz1!J32)</f>
        <v>0</v>
      </c>
      <c r="M60" s="112">
        <f>SUM(Arkusz1!K24,Arkusz1!K32)</f>
        <v>0</v>
      </c>
      <c r="N60" s="112">
        <f>SUM(Arkusz1!L24,Arkusz1!L32)</f>
        <v>0</v>
      </c>
      <c r="O60" s="112">
        <f>SUM(Arkusz1!M24,Arkusz1!M32)</f>
        <v>0</v>
      </c>
      <c r="P60" s="112">
        <f>SUM(Arkusz1!N24,Arkusz1!N32)</f>
        <v>0</v>
      </c>
      <c r="Q60" s="112">
        <f>SUM(Arkusz1!O24,Arkusz1!O32)</f>
        <v>0</v>
      </c>
    </row>
    <row r="61" spans="1:17" ht="25.5">
      <c r="A61" s="58">
        <v>53</v>
      </c>
      <c r="B61" s="109" t="s">
        <v>204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</row>
    <row r="62" spans="1:17" ht="38.25">
      <c r="A62" s="58">
        <v>54</v>
      </c>
      <c r="B62" s="109" t="s">
        <v>205</v>
      </c>
      <c r="C62" s="112">
        <v>0</v>
      </c>
      <c r="D62" s="112">
        <v>84512</v>
      </c>
      <c r="E62" s="112">
        <f>(SUM(Arkusz1!C33:C36,Arkusz1!C25:C29))-E67</f>
        <v>787662.69999999972</v>
      </c>
      <c r="F62" s="112">
        <f>(SUM(Arkusz1!D33:D36,Arkusz1!D25:D29))-F67</f>
        <v>1155446</v>
      </c>
      <c r="G62" s="112">
        <f>(SUM(Arkusz1!E33:E36,Arkusz1!E25:E29))-G67</f>
        <v>1014064.1500000004</v>
      </c>
      <c r="H62" s="112">
        <f>(SUM(Arkusz1!F33:F36,Arkusz1!F25:F29))-H67</f>
        <v>415000</v>
      </c>
      <c r="I62" s="112">
        <f>(SUM(Arkusz1!G33:G36,Arkusz1!G25:G29))-I67</f>
        <v>661699.15</v>
      </c>
      <c r="J62" s="112">
        <f>(SUM(Arkusz1!H33:H36,Arkusz1!H25:H29))-J67</f>
        <v>951699.15</v>
      </c>
      <c r="K62" s="112">
        <f>(SUM(Arkusz1!I33:I36,Arkusz1!I25:I29))-K67</f>
        <v>1126699.1499999999</v>
      </c>
      <c r="L62" s="112">
        <f>(SUM(Arkusz1!J33:J36,Arkusz1!J25:J29))-L67</f>
        <v>1091699.1499999999</v>
      </c>
      <c r="M62" s="112">
        <f>(SUM(Arkusz1!K33:K36,Arkusz1!K25:K29))-M67</f>
        <v>1556699.15</v>
      </c>
      <c r="N62" s="112">
        <f>(SUM(Arkusz1!L33:L36,Arkusz1!L25:L29))-N67</f>
        <v>1696699.15</v>
      </c>
      <c r="O62" s="112">
        <f>(SUM(Arkusz1!M33:M36,Arkusz1!M25:M29))-O67</f>
        <v>1426699.15</v>
      </c>
      <c r="P62" s="112">
        <f>(SUM(Arkusz1!N33:N36,Arkusz1!N25:N29))-P67</f>
        <v>1396699.15</v>
      </c>
      <c r="Q62" s="112">
        <f>(SUM(Arkusz1!O33:O36,Arkusz1!O25:O29))-Q67</f>
        <v>1205199.1499999999</v>
      </c>
    </row>
    <row r="63" spans="1:17" ht="38.25">
      <c r="A63" s="58">
        <v>55</v>
      </c>
      <c r="B63" s="109" t="s">
        <v>206</v>
      </c>
      <c r="C63" s="120">
        <v>0</v>
      </c>
      <c r="D63" s="120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</row>
    <row r="64" spans="1:17" ht="51">
      <c r="A64" s="298">
        <v>56</v>
      </c>
      <c r="B64" s="109" t="s">
        <v>172</v>
      </c>
      <c r="C64" s="121">
        <f t="shared" ref="C64:D64" si="20">SUM(C65:C68)</f>
        <v>0</v>
      </c>
      <c r="D64" s="121">
        <f t="shared" si="20"/>
        <v>0</v>
      </c>
      <c r="E64" s="121">
        <f>SUM(E65:E68)</f>
        <v>2249337.3000000003</v>
      </c>
      <c r="F64" s="121">
        <f t="shared" ref="F64:G64" si="21">SUM(F65:F68)</f>
        <v>0</v>
      </c>
      <c r="G64" s="121">
        <f t="shared" si="21"/>
        <v>4047750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>
      <c r="A65" s="289"/>
      <c r="B65" s="67" t="s">
        <v>173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>
      <c r="A66" s="289"/>
      <c r="B66" s="67" t="s">
        <v>174</v>
      </c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>
      <c r="A67" s="289"/>
      <c r="B67" s="66" t="s">
        <v>175</v>
      </c>
      <c r="C67" s="112">
        <v>0</v>
      </c>
      <c r="D67" s="112"/>
      <c r="E67" s="112">
        <f>2142226*1.05</f>
        <v>2249337.3000000003</v>
      </c>
      <c r="F67" s="112">
        <f>Arkusz1!D47*1.05</f>
        <v>0</v>
      </c>
      <c r="G67" s="112">
        <f>Arkusz1!E47*1.05</f>
        <v>4047750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</row>
    <row r="68" spans="1:17" ht="26.25" thickBot="1">
      <c r="A68" s="290"/>
      <c r="B68" s="70" t="s">
        <v>176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</row>
    <row r="69" spans="1:17" ht="51">
      <c r="A69" s="288">
        <v>56</v>
      </c>
      <c r="B69" s="111" t="s">
        <v>177</v>
      </c>
      <c r="C69" s="127"/>
      <c r="D69" s="127"/>
      <c r="E69" s="127"/>
      <c r="F69" s="127"/>
      <c r="G69" s="127"/>
      <c r="H69" s="128">
        <f>SUM(H70:H73)</f>
        <v>0</v>
      </c>
      <c r="I69" s="128">
        <f t="shared" ref="I69:Q69" si="22">SUM(I70:I73)</f>
        <v>0</v>
      </c>
      <c r="J69" s="128">
        <f t="shared" si="22"/>
        <v>0</v>
      </c>
      <c r="K69" s="128">
        <f t="shared" si="22"/>
        <v>0</v>
      </c>
      <c r="L69" s="128">
        <f t="shared" si="22"/>
        <v>0</v>
      </c>
      <c r="M69" s="128">
        <f t="shared" si="22"/>
        <v>0</v>
      </c>
      <c r="N69" s="128">
        <f t="shared" si="22"/>
        <v>0</v>
      </c>
      <c r="O69" s="128">
        <f t="shared" si="22"/>
        <v>0</v>
      </c>
      <c r="P69" s="128">
        <f t="shared" si="22"/>
        <v>0</v>
      </c>
      <c r="Q69" s="128">
        <f t="shared" si="22"/>
        <v>0</v>
      </c>
    </row>
    <row r="70" spans="1:17">
      <c r="A70" s="289"/>
      <c r="B70" s="67" t="s">
        <v>178</v>
      </c>
      <c r="C70" s="129"/>
      <c r="D70" s="129"/>
      <c r="E70" s="129"/>
      <c r="F70" s="129"/>
      <c r="G70" s="129"/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</row>
    <row r="71" spans="1:17">
      <c r="A71" s="289"/>
      <c r="B71" s="67" t="s">
        <v>179</v>
      </c>
      <c r="C71" s="129"/>
      <c r="D71" s="129"/>
      <c r="E71" s="129"/>
      <c r="F71" s="129"/>
      <c r="G71" s="129"/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</row>
    <row r="72" spans="1:17">
      <c r="A72" s="289"/>
      <c r="B72" s="67" t="s">
        <v>180</v>
      </c>
      <c r="C72" s="129"/>
      <c r="D72" s="129"/>
      <c r="E72" s="129"/>
      <c r="F72" s="129"/>
      <c r="G72" s="129"/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</row>
    <row r="73" spans="1:17" ht="26.25" thickBot="1">
      <c r="A73" s="290"/>
      <c r="B73" s="71" t="s">
        <v>176</v>
      </c>
      <c r="C73" s="126"/>
      <c r="D73" s="126"/>
      <c r="E73" s="126"/>
      <c r="F73" s="126"/>
      <c r="G73" s="126"/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</row>
    <row r="74" spans="1:17" ht="13.5" thickBot="1">
      <c r="A74" s="72">
        <v>57</v>
      </c>
      <c r="B74" s="109" t="s">
        <v>181</v>
      </c>
      <c r="C74" s="130"/>
      <c r="D74" s="130"/>
      <c r="E74" s="130"/>
      <c r="F74" s="130"/>
      <c r="G74" s="130"/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</row>
    <row r="75" spans="1:17" ht="26.25" thickBot="1">
      <c r="A75" s="54">
        <v>58</v>
      </c>
      <c r="B75" s="93" t="s">
        <v>207</v>
      </c>
      <c r="C75" s="140">
        <f>C58/C6</f>
        <v>2.3559080624809031E-2</v>
      </c>
      <c r="D75" s="140">
        <f t="shared" ref="D75:G75" si="23">D58/D6</f>
        <v>2.2730076015280071E-2</v>
      </c>
      <c r="E75" s="140">
        <f t="shared" si="23"/>
        <v>0.2093904346668127</v>
      </c>
      <c r="F75" s="140">
        <f t="shared" si="23"/>
        <v>8.3840824065771577E-2</v>
      </c>
      <c r="G75" s="140">
        <f t="shared" si="23"/>
        <v>0.25436503696102553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ht="26.25" thickBot="1">
      <c r="A76" s="69">
        <v>59</v>
      </c>
      <c r="B76" s="116" t="s">
        <v>208</v>
      </c>
      <c r="C76" s="141">
        <f>(C58-C64)/C6</f>
        <v>2.3559080624809031E-2</v>
      </c>
      <c r="D76" s="141">
        <f t="shared" ref="D76:G76" si="24">(D58-D64)/D6</f>
        <v>2.2730076015280071E-2</v>
      </c>
      <c r="E76" s="141">
        <f t="shared" si="24"/>
        <v>6.763280789201212E-2</v>
      </c>
      <c r="F76" s="141">
        <f t="shared" si="24"/>
        <v>8.3840824065771577E-2</v>
      </c>
      <c r="G76" s="141">
        <f t="shared" si="24"/>
        <v>5.4209857667922565E-2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ht="15" thickBot="1">
      <c r="A77" s="73">
        <v>60</v>
      </c>
      <c r="B77" s="133" t="s">
        <v>209</v>
      </c>
      <c r="C77" s="134"/>
      <c r="D77" s="134"/>
      <c r="E77" s="134"/>
      <c r="F77" s="134"/>
      <c r="G77" s="134"/>
      <c r="H77" s="135">
        <f>(((G7+G9-G11)/G6)+((F7+F9-F11)/F6)+((E7+E9-E11)/E6))/3</f>
        <v>2.8288961378167717E-2</v>
      </c>
      <c r="I77" s="135">
        <f t="shared" ref="I77:Q77" si="25">(((H7+H9-H11)/H6)+((G7+G9-G11)/G6)+((F7+F9-F11)/F6))/3</f>
        <v>6.1933689413734831E-2</v>
      </c>
      <c r="J77" s="135">
        <f t="shared" si="25"/>
        <v>0.10419006837524414</v>
      </c>
      <c r="K77" s="135">
        <f t="shared" si="25"/>
        <v>0.11343286223716748</v>
      </c>
      <c r="L77" s="135">
        <f t="shared" si="25"/>
        <v>0.11647963774620408</v>
      </c>
      <c r="M77" s="135">
        <f t="shared" si="25"/>
        <v>0.11813640755806892</v>
      </c>
      <c r="N77" s="135">
        <f t="shared" si="25"/>
        <v>0.12018542934094197</v>
      </c>
      <c r="O77" s="135">
        <f t="shared" si="25"/>
        <v>0.1227558223022147</v>
      </c>
      <c r="P77" s="135">
        <f t="shared" si="25"/>
        <v>0.12580023736506904</v>
      </c>
      <c r="Q77" s="135">
        <f t="shared" si="25"/>
        <v>0.12912206260691547</v>
      </c>
    </row>
    <row r="78" spans="1:17" ht="27.75" thickBot="1">
      <c r="A78" s="73">
        <v>61</v>
      </c>
      <c r="B78" s="133" t="s">
        <v>210</v>
      </c>
      <c r="C78" s="134"/>
      <c r="D78" s="134"/>
      <c r="E78" s="134"/>
      <c r="F78" s="134"/>
      <c r="G78" s="134"/>
      <c r="H78" s="135">
        <f>H58/H6</f>
        <v>2.4257657236380639E-2</v>
      </c>
      <c r="I78" s="135">
        <f t="shared" ref="I78:Q78" si="26">I58/I6</f>
        <v>4.0682394712573011E-2</v>
      </c>
      <c r="J78" s="135">
        <f t="shared" si="26"/>
        <v>5.6838389388405963E-2</v>
      </c>
      <c r="K78" s="135">
        <f t="shared" si="26"/>
        <v>6.5364135274681129E-2</v>
      </c>
      <c r="L78" s="135">
        <f t="shared" si="26"/>
        <v>6.1520167318778358E-2</v>
      </c>
      <c r="M78" s="135">
        <f t="shared" si="26"/>
        <v>8.5211046595954174E-2</v>
      </c>
      <c r="N78" s="135">
        <f t="shared" si="26"/>
        <v>9.0212475360787192E-2</v>
      </c>
      <c r="O78" s="135">
        <f t="shared" si="26"/>
        <v>7.368154938080837E-2</v>
      </c>
      <c r="P78" s="135">
        <f t="shared" si="26"/>
        <v>7.0062885161908284E-2</v>
      </c>
      <c r="Q78" s="135">
        <f t="shared" si="26"/>
        <v>5.8721500147605375E-2</v>
      </c>
    </row>
    <row r="79" spans="1:17" ht="27.75" thickBot="1">
      <c r="A79" s="69">
        <v>62</v>
      </c>
      <c r="B79" s="116" t="s">
        <v>211</v>
      </c>
      <c r="C79" s="119"/>
      <c r="D79" s="119"/>
      <c r="E79" s="119"/>
      <c r="F79" s="119"/>
      <c r="G79" s="119"/>
      <c r="H79" s="117">
        <f>(H58-H69)/H6</f>
        <v>2.4257657236380639E-2</v>
      </c>
      <c r="I79" s="117">
        <f t="shared" ref="I79:Q79" si="27">(I58-I69)/I6</f>
        <v>4.0682394712573011E-2</v>
      </c>
      <c r="J79" s="117">
        <f t="shared" si="27"/>
        <v>5.6838389388405963E-2</v>
      </c>
      <c r="K79" s="117">
        <f t="shared" si="27"/>
        <v>6.5364135274681129E-2</v>
      </c>
      <c r="L79" s="117">
        <f t="shared" si="27"/>
        <v>6.1520167318778358E-2</v>
      </c>
      <c r="M79" s="117">
        <f t="shared" si="27"/>
        <v>8.5211046595954174E-2</v>
      </c>
      <c r="N79" s="117">
        <f t="shared" si="27"/>
        <v>9.0212475360787192E-2</v>
      </c>
      <c r="O79" s="117">
        <f t="shared" si="27"/>
        <v>7.368154938080837E-2</v>
      </c>
      <c r="P79" s="117">
        <f t="shared" si="27"/>
        <v>7.0062885161908284E-2</v>
      </c>
      <c r="Q79" s="117">
        <f t="shared" si="27"/>
        <v>5.8721500147605375E-2</v>
      </c>
    </row>
    <row r="80" spans="1:17" ht="26.25" thickBot="1">
      <c r="A80" s="54">
        <v>63</v>
      </c>
      <c r="B80" s="136" t="s">
        <v>182</v>
      </c>
      <c r="C80" s="87">
        <f>SUM(C81:C82)</f>
        <v>0</v>
      </c>
      <c r="D80" s="87">
        <f t="shared" ref="D80:Q80" si="28">SUM(D81:D82)</f>
        <v>0</v>
      </c>
      <c r="E80" s="87">
        <f t="shared" si="28"/>
        <v>0</v>
      </c>
      <c r="F80" s="87">
        <f t="shared" si="28"/>
        <v>184000</v>
      </c>
      <c r="G80" s="87">
        <f t="shared" si="28"/>
        <v>3430000</v>
      </c>
      <c r="H80" s="87">
        <f t="shared" si="28"/>
        <v>0</v>
      </c>
      <c r="I80" s="87">
        <f t="shared" si="28"/>
        <v>0</v>
      </c>
      <c r="J80" s="87">
        <f t="shared" si="28"/>
        <v>0</v>
      </c>
      <c r="K80" s="87">
        <f t="shared" si="28"/>
        <v>0</v>
      </c>
      <c r="L80" s="87">
        <f t="shared" si="28"/>
        <v>0</v>
      </c>
      <c r="M80" s="87">
        <f t="shared" si="28"/>
        <v>0</v>
      </c>
      <c r="N80" s="87">
        <f t="shared" si="28"/>
        <v>0</v>
      </c>
      <c r="O80" s="87">
        <f t="shared" si="28"/>
        <v>0</v>
      </c>
      <c r="P80" s="87">
        <f t="shared" si="28"/>
        <v>0</v>
      </c>
      <c r="Q80" s="87">
        <f t="shared" si="28"/>
        <v>0</v>
      </c>
    </row>
    <row r="81" spans="1:17">
      <c r="A81" s="55">
        <v>64</v>
      </c>
      <c r="B81" s="137" t="s">
        <v>183</v>
      </c>
      <c r="C81" s="121">
        <v>0</v>
      </c>
      <c r="D81" s="121">
        <v>0</v>
      </c>
      <c r="E81" s="121">
        <f>Arkusz1!C28</f>
        <v>0</v>
      </c>
      <c r="F81" s="121">
        <f>Arkusz1!D28</f>
        <v>0</v>
      </c>
      <c r="G81" s="121">
        <f>Arkusz1!E28</f>
        <v>3255000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</row>
    <row r="82" spans="1:17" ht="13.5" thickBot="1">
      <c r="A82" s="63">
        <v>65</v>
      </c>
      <c r="B82" s="138" t="s">
        <v>184</v>
      </c>
      <c r="C82" s="139">
        <v>0</v>
      </c>
      <c r="D82" s="139">
        <v>0</v>
      </c>
      <c r="E82" s="139">
        <v>0</v>
      </c>
      <c r="F82" s="139">
        <f>Arkusz1!D35-261500</f>
        <v>184000</v>
      </c>
      <c r="G82" s="139">
        <f>Arkusz1!E35-261500</f>
        <v>175000</v>
      </c>
      <c r="H82" s="139"/>
      <c r="I82" s="139"/>
      <c r="J82" s="139"/>
      <c r="K82" s="139"/>
      <c r="L82" s="139"/>
      <c r="M82" s="139"/>
      <c r="N82" s="139"/>
      <c r="O82" s="139"/>
      <c r="P82" s="139"/>
      <c r="Q82" s="139"/>
    </row>
    <row r="83" spans="1:17">
      <c r="A83" s="50"/>
      <c r="B83" s="291" t="s">
        <v>185</v>
      </c>
      <c r="C83" s="75"/>
      <c r="D83" s="75"/>
      <c r="E83" s="75"/>
      <c r="F83" s="75"/>
      <c r="G83" s="75"/>
      <c r="H83" s="75"/>
      <c r="I83" s="75"/>
    </row>
    <row r="84" spans="1:17" ht="96" customHeight="1">
      <c r="A84" s="50"/>
      <c r="B84" s="292"/>
      <c r="C84" s="75"/>
      <c r="D84" s="75"/>
      <c r="E84" s="75"/>
      <c r="F84" s="75"/>
      <c r="G84" s="75"/>
      <c r="H84" s="75"/>
      <c r="I84" s="75"/>
    </row>
  </sheetData>
  <mergeCells count="8">
    <mergeCell ref="A69:A73"/>
    <mergeCell ref="B83:B84"/>
    <mergeCell ref="D1:H1"/>
    <mergeCell ref="B2:D2"/>
    <mergeCell ref="C4:D4"/>
    <mergeCell ref="E4:G4"/>
    <mergeCell ref="A52:A55"/>
    <mergeCell ref="A64:A68"/>
  </mergeCells>
  <pageMargins left="0.18" right="0.32" top="0.35" bottom="0.32" header="0.31496062992125984" footer="0.31496062992125984"/>
  <pageSetup paperSize="287" scale="67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E29" sqref="E29"/>
    </sheetView>
  </sheetViews>
  <sheetFormatPr defaultRowHeight="14.25"/>
  <cols>
    <col min="1" max="1" width="16.75" customWidth="1"/>
    <col min="2" max="2" width="11.375" customWidth="1"/>
    <col min="3" max="3" width="11.5" customWidth="1"/>
    <col min="4" max="4" width="12.25" customWidth="1"/>
    <col min="5" max="5" width="10.625" customWidth="1"/>
  </cols>
  <sheetData>
    <row r="3" spans="1:5" ht="14.25" customHeight="1">
      <c r="A3" s="144" t="s">
        <v>82</v>
      </c>
      <c r="B3" s="146">
        <v>1</v>
      </c>
      <c r="C3" s="148">
        <v>2</v>
      </c>
      <c r="D3" s="150">
        <v>3</v>
      </c>
      <c r="E3" s="299" t="s">
        <v>213</v>
      </c>
    </row>
    <row r="4" spans="1:5" ht="14.25" customHeight="1">
      <c r="A4" s="144" t="s">
        <v>81</v>
      </c>
      <c r="B4" s="147" t="s">
        <v>113</v>
      </c>
      <c r="C4" s="149" t="s">
        <v>114</v>
      </c>
      <c r="D4" s="151" t="s">
        <v>128</v>
      </c>
      <c r="E4" s="300"/>
    </row>
    <row r="5" spans="1:5">
      <c r="A5" s="145" t="s">
        <v>83</v>
      </c>
      <c r="B5" s="36">
        <v>400000</v>
      </c>
      <c r="C5" s="36">
        <v>1000000</v>
      </c>
      <c r="D5" s="143">
        <v>1230000</v>
      </c>
      <c r="E5" s="143">
        <f>SUM(B5:D5)</f>
        <v>2630000</v>
      </c>
    </row>
    <row r="6" spans="1:5">
      <c r="A6" s="144" t="s">
        <v>84</v>
      </c>
      <c r="B6" s="36">
        <v>200000</v>
      </c>
      <c r="C6" s="36">
        <v>300000</v>
      </c>
      <c r="D6" s="143"/>
      <c r="E6" s="143">
        <f t="shared" ref="E6:E14" si="0">SUM(B6:D6)</f>
        <v>500000</v>
      </c>
    </row>
    <row r="7" spans="1:5">
      <c r="A7" s="144" t="s">
        <v>85</v>
      </c>
      <c r="B7" s="36">
        <v>400000</v>
      </c>
      <c r="C7" s="36">
        <v>600000</v>
      </c>
      <c r="D7" s="143"/>
      <c r="E7" s="143">
        <f t="shared" si="0"/>
        <v>1000000</v>
      </c>
    </row>
    <row r="8" spans="1:5">
      <c r="A8" s="145" t="s">
        <v>86</v>
      </c>
      <c r="B8" s="36">
        <v>0</v>
      </c>
      <c r="C8" s="36">
        <v>0</v>
      </c>
      <c r="D8" s="143"/>
      <c r="E8" s="143">
        <f t="shared" si="0"/>
        <v>0</v>
      </c>
    </row>
    <row r="9" spans="1:5">
      <c r="A9" s="144" t="s">
        <v>117</v>
      </c>
      <c r="B9" s="36"/>
      <c r="C9" s="36">
        <v>0</v>
      </c>
      <c r="D9" s="143"/>
      <c r="E9" s="143">
        <f t="shared" si="0"/>
        <v>0</v>
      </c>
    </row>
    <row r="10" spans="1:5">
      <c r="A10" s="144" t="s">
        <v>118</v>
      </c>
      <c r="B10" s="36"/>
      <c r="C10" s="36">
        <v>0</v>
      </c>
      <c r="D10" s="143"/>
      <c r="E10" s="143">
        <f t="shared" si="0"/>
        <v>0</v>
      </c>
    </row>
    <row r="11" spans="1:5">
      <c r="A11" s="144" t="s">
        <v>119</v>
      </c>
      <c r="B11" s="36"/>
      <c r="C11" s="36">
        <v>600000</v>
      </c>
      <c r="D11" s="143"/>
      <c r="E11" s="143">
        <f t="shared" si="0"/>
        <v>600000</v>
      </c>
    </row>
    <row r="12" spans="1:5">
      <c r="A12" s="144" t="s">
        <v>120</v>
      </c>
      <c r="B12" s="36"/>
      <c r="C12" s="36">
        <v>600000</v>
      </c>
      <c r="D12" s="143"/>
      <c r="E12" s="143">
        <f t="shared" si="0"/>
        <v>600000</v>
      </c>
    </row>
    <row r="13" spans="1:5">
      <c r="A13" s="144" t="s">
        <v>121</v>
      </c>
      <c r="B13" s="36"/>
      <c r="C13" s="36">
        <v>600000</v>
      </c>
      <c r="D13" s="143"/>
      <c r="E13" s="143">
        <f t="shared" si="0"/>
        <v>600000</v>
      </c>
    </row>
    <row r="14" spans="1:5">
      <c r="A14" s="144" t="s">
        <v>122</v>
      </c>
      <c r="B14" s="36"/>
      <c r="C14" s="36">
        <v>600000</v>
      </c>
      <c r="D14" s="143"/>
      <c r="E14" s="143">
        <f t="shared" si="0"/>
        <v>600000</v>
      </c>
    </row>
    <row r="15" spans="1:5">
      <c r="A15" s="301" t="s">
        <v>213</v>
      </c>
      <c r="B15" s="302"/>
      <c r="C15" s="302"/>
      <c r="D15" s="302"/>
      <c r="E15" s="152">
        <f>SUM(E5:E14)</f>
        <v>6530000</v>
      </c>
    </row>
  </sheetData>
  <mergeCells count="2">
    <mergeCell ref="E3:E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RIO</vt:lpstr>
      <vt:lpstr>Arkusz1</vt:lpstr>
      <vt:lpstr>Arkusz2</vt:lpstr>
      <vt:lpstr>Arkusz3</vt:lpstr>
      <vt:lpstr>Inf finansowa</vt:lpstr>
      <vt:lpstr>Arkusz5</vt:lpstr>
      <vt:lpstr>Arkusz1!Obszar_wydruku</vt:lpstr>
      <vt:lpstr>RIO!Obszar_wydruku</vt:lpstr>
      <vt:lpstr>'Inf finansowa'!Tytuły_wydruku</vt:lpstr>
      <vt:lpstr>RIO!Tytuły_wydruku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Notebook</cp:lastModifiedBy>
  <cp:lastPrinted>2011-11-17T12:32:31Z</cp:lastPrinted>
  <dcterms:created xsi:type="dcterms:W3CDTF">2010-10-07T05:45:12Z</dcterms:created>
  <dcterms:modified xsi:type="dcterms:W3CDTF">2011-12-06T13:51:19Z</dcterms:modified>
</cp:coreProperties>
</file>