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010" yWindow="-15" windowWidth="13005" windowHeight="10290" tabRatio="688"/>
  </bookViews>
  <sheets>
    <sheet name="Zał.1_WPF_bazowy" sheetId="12" r:id="rId1"/>
    <sheet name="rysunki" sheetId="14" state="hidden" r:id="rId2"/>
    <sheet name="WPF_AnalizaWsk_Projektowanie" sheetId="17" state="hidden" r:id="rId3"/>
    <sheet name="definicja" sheetId="8" state="hidden" r:id="rId4"/>
    <sheet name="DaneZrodlowe" sheetId="9" state="hidden" r:id="rId5"/>
    <sheet name="DaneZrodloweDoWsk" sheetId="15" state="hidden" r:id="rId6"/>
    <sheet name="info do spr finansow" sheetId="19" state="hidden" r:id="rId7"/>
  </sheets>
  <definedNames>
    <definedName name="_xlnm._FilterDatabase" localSheetId="2" hidden="1">WPF_AnalizaWsk_Projektowanie!$A$9:$A$104</definedName>
    <definedName name="_xlnm._FilterDatabase" localSheetId="0" hidden="1">Zał.1_WPF_bazowy!$A$4:$A$99</definedName>
    <definedName name="_xlnm.Print_Area" localSheetId="2">WPF_AnalizaWsk_Projektowanie!$B$8:$AL$104</definedName>
    <definedName name="_xlnm.Print_Area" localSheetId="0">Zał.1_WPF_bazowy!$B$1:$U$99</definedName>
    <definedName name="_xlnm.Print_Titles" localSheetId="2">WPF_AnalizaWsk_Projektowanie!$B:$D,WPF_AnalizaWsk_Projektowanie!$8:$9</definedName>
    <definedName name="_xlnm.Print_Titles" localSheetId="0">Zał.1_WPF_bazowy!$B:$D,Zał.1_WPF_bazowy!$3:$4</definedName>
  </definedNames>
  <calcPr calcId="125725"/>
  <fileRecoveryPr autoRecover="0"/>
</workbook>
</file>

<file path=xl/calcChain.xml><?xml version="1.0" encoding="utf-8"?>
<calcChain xmlns="http://schemas.openxmlformats.org/spreadsheetml/2006/main">
  <c r="G6" i="19"/>
  <c r="F6"/>
  <c r="E6"/>
  <c r="D6"/>
  <c r="I8" i="17"/>
  <c r="AL99" i="12"/>
  <c r="AL104" i="17" s="1"/>
  <c r="AL98" i="12"/>
  <c r="AL103" i="17" s="1"/>
  <c r="AL97" i="12"/>
  <c r="AL102" i="17" s="1"/>
  <c r="AL96" i="12"/>
  <c r="AL101" i="17" s="1"/>
  <c r="AL95" i="12"/>
  <c r="AL100" i="17" s="1"/>
  <c r="AL94" i="12"/>
  <c r="AL99" i="17" s="1"/>
  <c r="AL93" i="12"/>
  <c r="AL98" i="17" s="1"/>
  <c r="AL91" i="12"/>
  <c r="AL96" i="17" s="1"/>
  <c r="AL90" i="12"/>
  <c r="AL95" i="17" s="1"/>
  <c r="AL89" i="12"/>
  <c r="AL94" i="17" s="1"/>
  <c r="AL88" i="12"/>
  <c r="AL87"/>
  <c r="AL92" i="17" s="1"/>
  <c r="AL120" s="1"/>
  <c r="AL86" i="12"/>
  <c r="AL91" i="17" s="1"/>
  <c r="AL85" i="12"/>
  <c r="AL83"/>
  <c r="AL88" i="17" s="1"/>
  <c r="AL82" i="12"/>
  <c r="AL87" i="17" s="1"/>
  <c r="AL81" i="12"/>
  <c r="AL80"/>
  <c r="AL85" i="17" s="1"/>
  <c r="AL79" i="12"/>
  <c r="AL84" i="17" s="1"/>
  <c r="AL78" i="12"/>
  <c r="AL77"/>
  <c r="AL82" i="17" s="1"/>
  <c r="AL76" i="12"/>
  <c r="AL81" i="17" s="1"/>
  <c r="AL75" i="12"/>
  <c r="AL80" i="17" s="1"/>
  <c r="AL74" i="12"/>
  <c r="AL79" i="17" s="1"/>
  <c r="AL73" i="12"/>
  <c r="AL78" i="17" s="1"/>
  <c r="AL72" i="12"/>
  <c r="AL77" i="17" s="1"/>
  <c r="AL70" i="12"/>
  <c r="AL75" i="17" s="1"/>
  <c r="AL69" i="12"/>
  <c r="AL74" i="17" s="1"/>
  <c r="AL68" i="12"/>
  <c r="AL73" i="17" s="1"/>
  <c r="AL67" i="12"/>
  <c r="AL72" i="17" s="1"/>
  <c r="AL66" i="12"/>
  <c r="AL65"/>
  <c r="AL64"/>
  <c r="AL69" i="17" s="1"/>
  <c r="AL63" i="12"/>
  <c r="AL224" s="1"/>
  <c r="AL61"/>
  <c r="AL66" i="17" s="1"/>
  <c r="AL60" i="12"/>
  <c r="AL65" i="17" s="1"/>
  <c r="AL57" i="12"/>
  <c r="AL56"/>
  <c r="AL54"/>
  <c r="AL53"/>
  <c r="AL52"/>
  <c r="AL51"/>
  <c r="AL50"/>
  <c r="AL49"/>
  <c r="AL47"/>
  <c r="AL46"/>
  <c r="AL44"/>
  <c r="AL43"/>
  <c r="AL42"/>
  <c r="AL41"/>
  <c r="AL46" i="17" s="1"/>
  <c r="AL40" i="12"/>
  <c r="AL45" i="17" s="1"/>
  <c r="AL39" i="12"/>
  <c r="AL38"/>
  <c r="AL43" i="17" s="1"/>
  <c r="AL37" i="12"/>
  <c r="AL42" i="17" s="1"/>
  <c r="AL36" i="12"/>
  <c r="AL41" i="17" s="1"/>
  <c r="AL35" i="12"/>
  <c r="AL34"/>
  <c r="AL33"/>
  <c r="AL38" i="17" s="1"/>
  <c r="AL32" i="12"/>
  <c r="AL37" i="17" s="1"/>
  <c r="AL31" i="12"/>
  <c r="AL36" i="17" s="1"/>
  <c r="AL30" i="12"/>
  <c r="AL35" i="17" s="1"/>
  <c r="AL29" i="12"/>
  <c r="AL28"/>
  <c r="AL27"/>
  <c r="AL26"/>
  <c r="AL31" i="17" s="1"/>
  <c r="AL25" i="12"/>
  <c r="AL24"/>
  <c r="AL23"/>
  <c r="AL28" i="17" s="1"/>
  <c r="AL22" i="12"/>
  <c r="AL27" i="17" s="1"/>
  <c r="AL21" i="12"/>
  <c r="AL166" s="1"/>
  <c r="AL20"/>
  <c r="AL25" i="17" s="1"/>
  <c r="AL19" i="12"/>
  <c r="AL24" i="17" s="1"/>
  <c r="AL18" i="12"/>
  <c r="AL17"/>
  <c r="AL22" i="17" s="1"/>
  <c r="AL227" s="1"/>
  <c r="AL16" i="12"/>
  <c r="AL220" s="1"/>
  <c r="AL15"/>
  <c r="AL14"/>
  <c r="AL13"/>
  <c r="AL12"/>
  <c r="AL11"/>
  <c r="AL10"/>
  <c r="AL122" s="1"/>
  <c r="AL9"/>
  <c r="AL14" i="17" s="1"/>
  <c r="AL8" i="12"/>
  <c r="AL13" i="17" s="1"/>
  <c r="AL7" i="12"/>
  <c r="AL6"/>
  <c r="AL125" s="1"/>
  <c r="AL5"/>
  <c r="AL194" s="1"/>
  <c r="AK99"/>
  <c r="AK98"/>
  <c r="AK97"/>
  <c r="AK102" i="17" s="1"/>
  <c r="AK96" i="12"/>
  <c r="AK95"/>
  <c r="AK94"/>
  <c r="AK93"/>
  <c r="AK160" s="1"/>
  <c r="AK91"/>
  <c r="AK148" s="1"/>
  <c r="AK90"/>
  <c r="AK95" i="17" s="1"/>
  <c r="AK89" i="12"/>
  <c r="AK94" i="17" s="1"/>
  <c r="AK88" i="12"/>
  <c r="AK93" i="17" s="1"/>
  <c r="AK87" i="12"/>
  <c r="AK92" i="17" s="1"/>
  <c r="AK120" s="1"/>
  <c r="AK86" i="12"/>
  <c r="AK91" i="17" s="1"/>
  <c r="AK85" i="12"/>
  <c r="AK83"/>
  <c r="AK88" i="17" s="1"/>
  <c r="AK82" i="12"/>
  <c r="AK87" i="17" s="1"/>
  <c r="AK81" i="12"/>
  <c r="AK86" i="17" s="1"/>
  <c r="AK80" i="12"/>
  <c r="AK79"/>
  <c r="AK84" i="17" s="1"/>
  <c r="AK78" i="12"/>
  <c r="AK83" i="17" s="1"/>
  <c r="AK77" i="12"/>
  <c r="AK76"/>
  <c r="AK81" i="17" s="1"/>
  <c r="AK75" i="12"/>
  <c r="AK74"/>
  <c r="AK79" i="17" s="1"/>
  <c r="AK73" i="12"/>
  <c r="AK78" i="17" s="1"/>
  <c r="AK72" i="12"/>
  <c r="AK77" i="17" s="1"/>
  <c r="AK70" i="12"/>
  <c r="AK75" i="17" s="1"/>
  <c r="AK69" i="12"/>
  <c r="AK74" i="17" s="1"/>
  <c r="AK68" i="12"/>
  <c r="AK67"/>
  <c r="AK72" i="17" s="1"/>
  <c r="AK66" i="12"/>
  <c r="AK146" s="1"/>
  <c r="AK65"/>
  <c r="AK64"/>
  <c r="AK69" i="17" s="1"/>
  <c r="AL251" s="1"/>
  <c r="AK63" i="12"/>
  <c r="AK224" s="1"/>
  <c r="AK61"/>
  <c r="AK66" i="17" s="1"/>
  <c r="AK60" i="12"/>
  <c r="AK65" i="17" s="1"/>
  <c r="AK57" i="12"/>
  <c r="AK56"/>
  <c r="AK54"/>
  <c r="AK59" s="1"/>
  <c r="AK53"/>
  <c r="AK58" i="17" s="1"/>
  <c r="AK52" i="12"/>
  <c r="AK51"/>
  <c r="AK50"/>
  <c r="AK49"/>
  <c r="AK47"/>
  <c r="AK46"/>
  <c r="AK44"/>
  <c r="AK49" i="17" s="1"/>
  <c r="AK43" i="12"/>
  <c r="AK42"/>
  <c r="AK41"/>
  <c r="AK40"/>
  <c r="AK45" i="17" s="1"/>
  <c r="AK39" i="12"/>
  <c r="AK162" s="1"/>
  <c r="AK38"/>
  <c r="AK37"/>
  <c r="AK42" i="17" s="1"/>
  <c r="AK36" i="12"/>
  <c r="AK41" i="17" s="1"/>
  <c r="AK35" i="12"/>
  <c r="AK40" i="17" s="1"/>
  <c r="AK34" i="12"/>
  <c r="AK33"/>
  <c r="AK32"/>
  <c r="AK37" i="17" s="1"/>
  <c r="AK161" s="1"/>
  <c r="AK31" i="12"/>
  <c r="AK36" i="17" s="1"/>
  <c r="AK30" i="12"/>
  <c r="AK29"/>
  <c r="AK28"/>
  <c r="AK33" i="17" s="1"/>
  <c r="AK27" i="12"/>
  <c r="AK26"/>
  <c r="AK25"/>
  <c r="AK24"/>
  <c r="AK23"/>
  <c r="AK170" s="1"/>
  <c r="AK22"/>
  <c r="AK21"/>
  <c r="AK20"/>
  <c r="AK19"/>
  <c r="AK24" i="17" s="1"/>
  <c r="AL244" s="1"/>
  <c r="AK18" i="12"/>
  <c r="AK17"/>
  <c r="AK16"/>
  <c r="AK15"/>
  <c r="AK127" s="1"/>
  <c r="AK14"/>
  <c r="AK13"/>
  <c r="AK12"/>
  <c r="AK123" s="1"/>
  <c r="AK11"/>
  <c r="AK16" i="17" s="1"/>
  <c r="AK10" i="12"/>
  <c r="AK9"/>
  <c r="AK8"/>
  <c r="AK13" i="17" s="1"/>
  <c r="AK7" i="12"/>
  <c r="AK12" i="17" s="1"/>
  <c r="AK6" i="12"/>
  <c r="AK5"/>
  <c r="AJ99"/>
  <c r="AJ104" i="17" s="1"/>
  <c r="AJ98" i="12"/>
  <c r="AJ103" i="17" s="1"/>
  <c r="AJ97" i="12"/>
  <c r="AJ96"/>
  <c r="AJ95"/>
  <c r="AJ100" i="17" s="1"/>
  <c r="AJ94" i="12"/>
  <c r="AJ93"/>
  <c r="AJ91"/>
  <c r="AJ90"/>
  <c r="AJ95" i="17" s="1"/>
  <c r="AJ89" i="12"/>
  <c r="AJ94" i="17" s="1"/>
  <c r="AJ88" i="12"/>
  <c r="AJ87"/>
  <c r="AJ86"/>
  <c r="AJ91" i="17" s="1"/>
  <c r="AJ85" i="12"/>
  <c r="AJ165" s="1"/>
  <c r="AJ83"/>
  <c r="AJ82"/>
  <c r="AJ81"/>
  <c r="AJ86" i="17" s="1"/>
  <c r="AK248" s="1"/>
  <c r="AJ80" i="12"/>
  <c r="AJ135" s="1"/>
  <c r="AJ79"/>
  <c r="AJ78"/>
  <c r="AJ77"/>
  <c r="AJ133" s="1"/>
  <c r="AJ76"/>
  <c r="AJ132" s="1"/>
  <c r="AJ75"/>
  <c r="AJ74"/>
  <c r="AJ73"/>
  <c r="AJ78" i="17" s="1"/>
  <c r="AJ72" i="12"/>
  <c r="AJ77" i="17" s="1"/>
  <c r="AJ70" i="12"/>
  <c r="AJ69"/>
  <c r="AJ74" i="17" s="1"/>
  <c r="AJ68" i="12"/>
  <c r="AJ73" i="17" s="1"/>
  <c r="AJ67" i="12"/>
  <c r="AK248" s="1"/>
  <c r="AJ66"/>
  <c r="AJ65"/>
  <c r="AJ64"/>
  <c r="AJ63"/>
  <c r="AJ68" i="17" s="1"/>
  <c r="AK250" s="1"/>
  <c r="AJ61" i="12"/>
  <c r="AJ60"/>
  <c r="AJ57"/>
  <c r="AJ56"/>
  <c r="AJ58" s="1"/>
  <c r="AJ54"/>
  <c r="AJ53"/>
  <c r="AJ52"/>
  <c r="AJ51"/>
  <c r="AJ50"/>
  <c r="AJ49"/>
  <c r="AJ47"/>
  <c r="AJ46"/>
  <c r="AJ44"/>
  <c r="AJ43"/>
  <c r="AJ42"/>
  <c r="AJ41"/>
  <c r="AJ46" i="17" s="1"/>
  <c r="AJ40" i="12"/>
  <c r="AJ39"/>
  <c r="AJ38"/>
  <c r="AJ43" i="17" s="1"/>
  <c r="AJ37" i="12"/>
  <c r="AJ36"/>
  <c r="AJ35"/>
  <c r="AJ34"/>
  <c r="AJ33"/>
  <c r="AJ38" i="17" s="1"/>
  <c r="AJ32" i="12"/>
  <c r="AJ31"/>
  <c r="AJ30"/>
  <c r="AJ155" s="1"/>
  <c r="AJ29"/>
  <c r="AJ28"/>
  <c r="AJ27"/>
  <c r="AJ26"/>
  <c r="AJ31" i="17" s="1"/>
  <c r="AJ25" i="12"/>
  <c r="AJ24"/>
  <c r="AJ23"/>
  <c r="AJ22"/>
  <c r="AK241" s="1"/>
  <c r="AJ21"/>
  <c r="AJ20"/>
  <c r="AJ19"/>
  <c r="AK239" s="1"/>
  <c r="AJ18"/>
  <c r="AJ142" s="1"/>
  <c r="AJ17"/>
  <c r="AJ222" s="1"/>
  <c r="AJ16"/>
  <c r="AJ220" s="1"/>
  <c r="AJ15"/>
  <c r="AJ14"/>
  <c r="AJ19" i="17" s="1"/>
  <c r="AJ13" i="12"/>
  <c r="AJ217" s="1"/>
  <c r="AJ12"/>
  <c r="AJ17" i="17" s="1"/>
  <c r="AJ11" i="12"/>
  <c r="AJ10"/>
  <c r="AJ15" i="17" s="1"/>
  <c r="AJ9" i="12"/>
  <c r="AJ8"/>
  <c r="AJ13" i="17" s="1"/>
  <c r="AJ7" i="12"/>
  <c r="AJ12" i="17" s="1"/>
  <c r="AJ6" i="12"/>
  <c r="AJ5"/>
  <c r="AJ198" s="1"/>
  <c r="AI99"/>
  <c r="AI104" i="17" s="1"/>
  <c r="AI98" i="12"/>
  <c r="AI103" i="17" s="1"/>
  <c r="AI97" i="12"/>
  <c r="AI102" i="17" s="1"/>
  <c r="AI96" i="12"/>
  <c r="AI95"/>
  <c r="AI100" i="17" s="1"/>
  <c r="AI94" i="12"/>
  <c r="AI93"/>
  <c r="AI98" i="17" s="1"/>
  <c r="AI91" i="12"/>
  <c r="AI148" s="1"/>
  <c r="AI90"/>
  <c r="AI89"/>
  <c r="AI88"/>
  <c r="AI93" i="17" s="1"/>
  <c r="AI87" i="12"/>
  <c r="AI92" i="17" s="1"/>
  <c r="AI120" s="1"/>
  <c r="AI86" i="12"/>
  <c r="AI85"/>
  <c r="AJ119" s="1"/>
  <c r="AI83"/>
  <c r="AI88" i="17" s="1"/>
  <c r="AI82" i="12"/>
  <c r="AI87" i="17" s="1"/>
  <c r="AI81" i="12"/>
  <c r="AI80"/>
  <c r="AI85" i="17" s="1"/>
  <c r="AI79" i="12"/>
  <c r="AI84" i="17" s="1"/>
  <c r="AI78" i="12"/>
  <c r="AI83" i="17" s="1"/>
  <c r="AI77" i="12"/>
  <c r="AI82" i="17" s="1"/>
  <c r="AI76" i="12"/>
  <c r="AI81" i="17" s="1"/>
  <c r="AI75" i="12"/>
  <c r="AI74"/>
  <c r="AI131" s="1"/>
  <c r="AI73"/>
  <c r="AI78" i="17" s="1"/>
  <c r="AI72" i="12"/>
  <c r="AI77" i="17" s="1"/>
  <c r="AI70" i="12"/>
  <c r="AI75" i="17" s="1"/>
  <c r="AI69" i="12"/>
  <c r="AI74" i="17" s="1"/>
  <c r="AI68" i="12"/>
  <c r="AI73" i="17" s="1"/>
  <c r="AI67" i="12"/>
  <c r="AI72" i="17" s="1"/>
  <c r="AJ253" s="1"/>
  <c r="AI66" i="12"/>
  <c r="AI71" i="17" s="1"/>
  <c r="AJ252" s="1"/>
  <c r="AI65" i="12"/>
  <c r="AI64"/>
  <c r="AI69" i="17" s="1"/>
  <c r="AJ251" s="1"/>
  <c r="AI63" i="12"/>
  <c r="AI61"/>
  <c r="AI159" s="1"/>
  <c r="AI60"/>
  <c r="AI65" i="17" s="1"/>
  <c r="AI57" i="12"/>
  <c r="AI56"/>
  <c r="AI54"/>
  <c r="AI53"/>
  <c r="AI58" i="17" s="1"/>
  <c r="AI52" i="12"/>
  <c r="AI51"/>
  <c r="AI50"/>
  <c r="AI49"/>
  <c r="AI47"/>
  <c r="AI46"/>
  <c r="AI44"/>
  <c r="AI49" i="17" s="1"/>
  <c r="AI43" i="12"/>
  <c r="AI42"/>
  <c r="AI41"/>
  <c r="AI40"/>
  <c r="AI45" i="17" s="1"/>
  <c r="AI39" i="12"/>
  <c r="AI38"/>
  <c r="AI43" i="17" s="1"/>
  <c r="AI37" i="12"/>
  <c r="AI42" i="17" s="1"/>
  <c r="AI36" i="12"/>
  <c r="AI35"/>
  <c r="AI40" i="17" s="1"/>
  <c r="AI34" i="12"/>
  <c r="AI33"/>
  <c r="AI32"/>
  <c r="AI37" i="17" s="1"/>
  <c r="AI31" i="12"/>
  <c r="AI36" i="17" s="1"/>
  <c r="AI30" i="12"/>
  <c r="AI29"/>
  <c r="AI28"/>
  <c r="AI27"/>
  <c r="AI32" i="17" s="1"/>
  <c r="AI26" i="12"/>
  <c r="AI31" i="17" s="1"/>
  <c r="AI25" i="12"/>
  <c r="AI24"/>
  <c r="AI23"/>
  <c r="AI28" i="17" s="1"/>
  <c r="AI22" i="12"/>
  <c r="AJ241" s="1"/>
  <c r="AI21"/>
  <c r="AJ240" s="1"/>
  <c r="AI20"/>
  <c r="AI19"/>
  <c r="AI18"/>
  <c r="AI17"/>
  <c r="AI16"/>
  <c r="AJ234" s="1"/>
  <c r="AI15"/>
  <c r="AI20" i="17" s="1"/>
  <c r="AI14" i="12"/>
  <c r="AI219" s="1"/>
  <c r="AI13"/>
  <c r="AI12"/>
  <c r="AI17" i="17" s="1"/>
  <c r="AI11" i="12"/>
  <c r="AI16" i="17" s="1"/>
  <c r="AI10" i="12"/>
  <c r="AI9"/>
  <c r="AI8"/>
  <c r="AI13" i="17" s="1"/>
  <c r="AI7" i="12"/>
  <c r="AI12" i="17" s="1"/>
  <c r="AI6" i="12"/>
  <c r="AI5"/>
  <c r="AI193" s="1"/>
  <c r="AH99"/>
  <c r="AH104" i="17" s="1"/>
  <c r="AH98" i="12"/>
  <c r="AH103" i="17" s="1"/>
  <c r="AH97" i="12"/>
  <c r="AH96"/>
  <c r="AH101" i="17" s="1"/>
  <c r="AH95" i="12"/>
  <c r="AH100" i="17" s="1"/>
  <c r="AH94" i="12"/>
  <c r="AH93"/>
  <c r="AH98" i="17" s="1"/>
  <c r="AH91" i="12"/>
  <c r="AH90"/>
  <c r="AH95" i="17" s="1"/>
  <c r="AH89" i="12"/>
  <c r="AH94" i="17" s="1"/>
  <c r="AH88" i="12"/>
  <c r="AH93" i="17" s="1"/>
  <c r="AH87" i="12"/>
  <c r="AH115" s="1"/>
  <c r="AH86"/>
  <c r="AH91" i="17" s="1"/>
  <c r="AH85" i="12"/>
  <c r="AH83"/>
  <c r="AH82"/>
  <c r="AH87" i="17" s="1"/>
  <c r="AH81" i="12"/>
  <c r="AH86" i="17" s="1"/>
  <c r="AH80" i="12"/>
  <c r="AH85" i="17" s="1"/>
  <c r="AH79" i="12"/>
  <c r="AH78"/>
  <c r="AH77"/>
  <c r="AH82" i="17" s="1"/>
  <c r="AH76" i="12"/>
  <c r="AH81" i="17" s="1"/>
  <c r="AH75" i="12"/>
  <c r="AH74"/>
  <c r="AH79" i="17" s="1"/>
  <c r="AH73" i="12"/>
  <c r="AH72"/>
  <c r="AH77" i="17" s="1"/>
  <c r="AH70" i="12"/>
  <c r="AH75" i="17" s="1"/>
  <c r="AH69" i="12"/>
  <c r="AH74" i="17" s="1"/>
  <c r="AH68" i="12"/>
  <c r="AH73" i="17" s="1"/>
  <c r="AH67" i="12"/>
  <c r="AH72" i="17" s="1"/>
  <c r="AI253" s="1"/>
  <c r="AH66" i="12"/>
  <c r="AH71" i="17" s="1"/>
  <c r="AH65" i="12"/>
  <c r="AH64"/>
  <c r="AI246" s="1"/>
  <c r="AH63"/>
  <c r="AH61"/>
  <c r="AH66" i="17" s="1"/>
  <c r="AH60" i="12"/>
  <c r="AH57"/>
  <c r="AH56"/>
  <c r="AH54"/>
  <c r="AH53"/>
  <c r="AH58" i="17" s="1"/>
  <c r="AH52" i="12"/>
  <c r="AH51"/>
  <c r="AH50"/>
  <c r="AH49"/>
  <c r="AH47"/>
  <c r="AH46"/>
  <c r="AH44"/>
  <c r="AH43"/>
  <c r="AH42"/>
  <c r="AH41"/>
  <c r="AH46" i="17" s="1"/>
  <c r="AH40" i="12"/>
  <c r="AH45" i="17" s="1"/>
  <c r="AH39" i="12"/>
  <c r="AH38"/>
  <c r="AH43" i="17" s="1"/>
  <c r="AH37" i="12"/>
  <c r="AH42" i="17" s="1"/>
  <c r="AH36" i="12"/>
  <c r="AH41" i="17" s="1"/>
  <c r="AH35" i="12"/>
  <c r="AH34"/>
  <c r="AH33"/>
  <c r="AH38" i="17" s="1"/>
  <c r="AH32" i="12"/>
  <c r="AH37" i="17" s="1"/>
  <c r="AH31" i="12"/>
  <c r="AH30"/>
  <c r="AH29"/>
  <c r="AH34" i="17" s="1"/>
  <c r="AH28" i="12"/>
  <c r="AH27"/>
  <c r="AH32" i="17" s="1"/>
  <c r="AH26" i="12"/>
  <c r="AH31" i="17" s="1"/>
  <c r="AH25" i="12"/>
  <c r="AH24"/>
  <c r="AH120" s="1"/>
  <c r="AH23"/>
  <c r="AH28" i="17" s="1"/>
  <c r="AH22" i="12"/>
  <c r="AH21"/>
  <c r="AH20"/>
  <c r="AH139" s="1"/>
  <c r="AH19"/>
  <c r="AI239" s="1"/>
  <c r="AH18"/>
  <c r="AH17"/>
  <c r="AH145" s="1"/>
  <c r="AH16"/>
  <c r="AI234" s="1"/>
  <c r="AH15"/>
  <c r="AH20" i="17" s="1"/>
  <c r="AH14" i="12"/>
  <c r="AH19" i="17" s="1"/>
  <c r="AH13" i="12"/>
  <c r="AH12"/>
  <c r="AH17" i="17" s="1"/>
  <c r="AH11" i="12"/>
  <c r="AH10"/>
  <c r="AH122" s="1"/>
  <c r="AH9"/>
  <c r="AH14" i="17" s="1"/>
  <c r="AH8" i="12"/>
  <c r="AH7"/>
  <c r="AH6"/>
  <c r="AH11" i="17" s="1"/>
  <c r="AH5" i="12"/>
  <c r="AG99"/>
  <c r="AG98"/>
  <c r="AG103" i="17" s="1"/>
  <c r="AG97" i="12"/>
  <c r="AG102" i="17" s="1"/>
  <c r="AG96" i="12"/>
  <c r="AG101" i="17" s="1"/>
  <c r="AG95" i="12"/>
  <c r="AG94"/>
  <c r="AG93"/>
  <c r="AG91"/>
  <c r="AG90"/>
  <c r="AG89"/>
  <c r="AG94" i="17" s="1"/>
  <c r="AG88" i="12"/>
  <c r="AG93" i="17" s="1"/>
  <c r="AG87" i="12"/>
  <c r="AG86"/>
  <c r="AG91" i="17" s="1"/>
  <c r="AG85" i="12"/>
  <c r="AH119" s="1"/>
  <c r="AG83"/>
  <c r="AG88" i="17" s="1"/>
  <c r="AG82" i="12"/>
  <c r="AG87" i="17" s="1"/>
  <c r="AG81" i="12"/>
  <c r="AG86" i="17" s="1"/>
  <c r="AG80" i="12"/>
  <c r="AG85" i="17" s="1"/>
  <c r="AG79" i="12"/>
  <c r="AG84" i="17" s="1"/>
  <c r="AG78" i="12"/>
  <c r="AG77"/>
  <c r="AG76"/>
  <c r="AG75"/>
  <c r="AH233" s="1"/>
  <c r="AG74"/>
  <c r="AG73"/>
  <c r="AG72"/>
  <c r="AG70"/>
  <c r="AG75" i="17" s="1"/>
  <c r="AG69" i="12"/>
  <c r="AG74" i="17" s="1"/>
  <c r="AG68" i="12"/>
  <c r="AG67"/>
  <c r="AG66"/>
  <c r="AG71" i="17" s="1"/>
  <c r="AH252" s="1"/>
  <c r="AG65" i="12"/>
  <c r="AG64"/>
  <c r="AG63"/>
  <c r="AG61"/>
  <c r="AG66" i="17" s="1"/>
  <c r="AG134" s="1"/>
  <c r="AG60" i="12"/>
  <c r="AG65" i="17" s="1"/>
  <c r="AG57" i="12"/>
  <c r="AG56"/>
  <c r="AG54"/>
  <c r="AG58" s="1"/>
  <c r="AG53"/>
  <c r="AG58" i="17" s="1"/>
  <c r="AG52" i="12"/>
  <c r="AG51"/>
  <c r="AG50"/>
  <c r="AG49"/>
  <c r="AG47"/>
  <c r="AG46"/>
  <c r="AG44"/>
  <c r="AG43"/>
  <c r="AG42"/>
  <c r="AG41"/>
  <c r="AG40"/>
  <c r="AG39"/>
  <c r="AG162" s="1"/>
  <c r="AG38"/>
  <c r="AG37"/>
  <c r="AG36"/>
  <c r="AG158" s="1"/>
  <c r="AG35"/>
  <c r="AG34"/>
  <c r="AG33"/>
  <c r="AG32"/>
  <c r="AG31"/>
  <c r="AG155" s="1"/>
  <c r="AG30"/>
  <c r="AG35" i="17" s="1"/>
  <c r="AG29" i="12"/>
  <c r="AG34" i="17" s="1"/>
  <c r="AG28" i="12"/>
  <c r="AG27"/>
  <c r="AG153" s="1"/>
  <c r="AG26"/>
  <c r="AG31" i="17" s="1"/>
  <c r="AG25" i="12"/>
  <c r="AG24"/>
  <c r="AG120" s="1"/>
  <c r="AG23"/>
  <c r="AG151" s="1"/>
  <c r="AG22"/>
  <c r="AG27" i="17" s="1"/>
  <c r="AH246" s="1"/>
  <c r="AG21" i="12"/>
  <c r="AH240" s="1"/>
  <c r="AG20"/>
  <c r="AG25" i="17" s="1"/>
  <c r="AG19" i="12"/>
  <c r="AG141" s="1"/>
  <c r="AG18"/>
  <c r="AH238" s="1"/>
  <c r="AG17"/>
  <c r="AH236" s="1"/>
  <c r="AG16"/>
  <c r="AG220" s="1"/>
  <c r="AG15"/>
  <c r="AG20" i="17" s="1"/>
  <c r="AG14" i="12"/>
  <c r="AG19" i="17" s="1"/>
  <c r="AG13" i="12"/>
  <c r="AG12"/>
  <c r="AG11"/>
  <c r="AG16" i="17" s="1"/>
  <c r="AG10" i="12"/>
  <c r="AG15" i="17" s="1"/>
  <c r="AG9" i="12"/>
  <c r="AG14" i="17" s="1"/>
  <c r="AG8" i="12"/>
  <c r="AG13" i="17" s="1"/>
  <c r="AG7" i="12"/>
  <c r="AG12" i="17" s="1"/>
  <c r="AG6" i="12"/>
  <c r="AG5"/>
  <c r="AG195" s="1"/>
  <c r="AF99"/>
  <c r="AF104" i="17" s="1"/>
  <c r="AF98" i="12"/>
  <c r="AF103" i="17" s="1"/>
  <c r="AF97" i="12"/>
  <c r="AF102" i="17" s="1"/>
  <c r="AF96" i="12"/>
  <c r="AF101" i="17" s="1"/>
  <c r="AF95" i="12"/>
  <c r="AF100" i="17" s="1"/>
  <c r="AF94" i="12"/>
  <c r="AF93"/>
  <c r="AF98" i="17" s="1"/>
  <c r="AF91" i="12"/>
  <c r="AF96" i="17" s="1"/>
  <c r="AF90" i="12"/>
  <c r="AF95" i="17" s="1"/>
  <c r="AF89" i="12"/>
  <c r="AF94" i="17" s="1"/>
  <c r="AF88" i="12"/>
  <c r="AF87"/>
  <c r="AF92" i="17" s="1"/>
  <c r="AF120" s="1"/>
  <c r="AF86" i="12"/>
  <c r="AF91" i="17" s="1"/>
  <c r="AF85" i="12"/>
  <c r="AF83"/>
  <c r="AF88" i="17" s="1"/>
  <c r="AF82" i="12"/>
  <c r="AF87" i="17" s="1"/>
  <c r="AF81" i="12"/>
  <c r="AG243" s="1"/>
  <c r="AF80"/>
  <c r="AF85" i="17" s="1"/>
  <c r="AF79" i="12"/>
  <c r="AF84" i="17" s="1"/>
  <c r="AF78" i="12"/>
  <c r="AF83" i="17" s="1"/>
  <c r="AF77" i="12"/>
  <c r="AF82" i="17" s="1"/>
  <c r="AF76" i="12"/>
  <c r="AF81" i="17" s="1"/>
  <c r="AF75" i="12"/>
  <c r="AF80" i="17" s="1"/>
  <c r="AF74" i="12"/>
  <c r="AF79" i="17" s="1"/>
  <c r="AF73" i="12"/>
  <c r="AF130" s="1"/>
  <c r="AF72"/>
  <c r="AF70"/>
  <c r="AF75" i="17" s="1"/>
  <c r="AF69" i="12"/>
  <c r="AF68"/>
  <c r="AF67"/>
  <c r="AF66"/>
  <c r="AF71" i="17" s="1"/>
  <c r="AF65" i="12"/>
  <c r="AF64"/>
  <c r="AF69" i="17" s="1"/>
  <c r="AG251" s="1"/>
  <c r="AF63" i="12"/>
  <c r="AF68" i="17" s="1"/>
  <c r="AF61" i="12"/>
  <c r="AF66" i="17" s="1"/>
  <c r="AF60" i="12"/>
  <c r="AF57"/>
  <c r="AF59" s="1"/>
  <c r="AF56"/>
  <c r="AF54"/>
  <c r="AF53"/>
  <c r="AF52"/>
  <c r="AF51"/>
  <c r="AF50"/>
  <c r="AF49"/>
  <c r="AF47"/>
  <c r="AF46"/>
  <c r="AF44"/>
  <c r="AF49" i="17" s="1"/>
  <c r="AF43" i="12"/>
  <c r="AF42"/>
  <c r="AF41"/>
  <c r="AF46" i="17" s="1"/>
  <c r="AF40" i="12"/>
  <c r="AF39"/>
  <c r="AF38"/>
  <c r="AF43" i="17" s="1"/>
  <c r="AF37" i="12"/>
  <c r="AF36"/>
  <c r="AF41" i="17" s="1"/>
  <c r="AF35" i="12"/>
  <c r="AF34"/>
  <c r="AF33"/>
  <c r="AF38" i="17" s="1"/>
  <c r="AF32" i="12"/>
  <c r="AF31"/>
  <c r="AF36" i="17" s="1"/>
  <c r="AF30" i="12"/>
  <c r="AF35" i="17" s="1"/>
  <c r="AF29" i="12"/>
  <c r="AF34" i="17" s="1"/>
  <c r="AF28" i="12"/>
  <c r="AF33" i="17" s="1"/>
  <c r="AF27" i="12"/>
  <c r="AF32" i="17" s="1"/>
  <c r="AF26" i="12"/>
  <c r="AF31" i="17" s="1"/>
  <c r="AF25" i="12"/>
  <c r="AF24"/>
  <c r="AF120" s="1"/>
  <c r="AF23"/>
  <c r="AF22"/>
  <c r="AG241" s="1"/>
  <c r="AF21"/>
  <c r="AF26" i="17" s="1"/>
  <c r="AF20" i="12"/>
  <c r="AF139" s="1"/>
  <c r="AF19"/>
  <c r="AF24" i="17" s="1"/>
  <c r="AG244" s="1"/>
  <c r="AF18" i="12"/>
  <c r="AF23" i="17" s="1"/>
  <c r="AF17" i="12"/>
  <c r="AF22" i="17" s="1"/>
  <c r="AF16" i="12"/>
  <c r="AF220" s="1"/>
  <c r="AF15"/>
  <c r="AF20" i="17" s="1"/>
  <c r="AF14" i="12"/>
  <c r="AF13"/>
  <c r="AG231" s="1"/>
  <c r="AF12"/>
  <c r="AF11"/>
  <c r="AF16" i="17" s="1"/>
  <c r="AF10" i="12"/>
  <c r="AF9"/>
  <c r="AF14" i="17" s="1"/>
  <c r="AF8" i="12"/>
  <c r="AF13" i="17" s="1"/>
  <c r="AF7" i="12"/>
  <c r="AF12" i="17" s="1"/>
  <c r="AF6" i="12"/>
  <c r="AF11" i="17" s="1"/>
  <c r="AF5" i="12"/>
  <c r="AE99"/>
  <c r="AE104" i="17" s="1"/>
  <c r="AE98" i="12"/>
  <c r="AE103" i="17" s="1"/>
  <c r="AE97" i="12"/>
  <c r="AE102" i="17" s="1"/>
  <c r="AE96" i="12"/>
  <c r="AE95"/>
  <c r="AE94"/>
  <c r="AE93"/>
  <c r="AE98" i="17" s="1"/>
  <c r="AE91" i="12"/>
  <c r="AE96" i="17" s="1"/>
  <c r="AE90" i="12"/>
  <c r="AE89"/>
  <c r="AE88"/>
  <c r="AE93" i="17" s="1"/>
  <c r="AE87" i="12"/>
  <c r="AE115" s="1"/>
  <c r="AE86"/>
  <c r="AE85"/>
  <c r="AE83"/>
  <c r="AE88" i="17" s="1"/>
  <c r="AE82" i="12"/>
  <c r="AE136" s="1"/>
  <c r="AE81"/>
  <c r="AE80"/>
  <c r="AE85" i="17" s="1"/>
  <c r="AE79" i="12"/>
  <c r="AE84" i="17" s="1"/>
  <c r="AE78" i="12"/>
  <c r="AE77"/>
  <c r="AE82" i="17" s="1"/>
  <c r="AE76" i="12"/>
  <c r="AE75"/>
  <c r="AE74"/>
  <c r="AE73"/>
  <c r="AE72"/>
  <c r="AF230" s="1"/>
  <c r="AE70"/>
  <c r="AE75" i="17" s="1"/>
  <c r="AE69" i="12"/>
  <c r="AE74" i="17" s="1"/>
  <c r="AE68" i="12"/>
  <c r="AE73" i="17" s="1"/>
  <c r="AE67" i="12"/>
  <c r="AE66"/>
  <c r="AE71" i="17" s="1"/>
  <c r="AE65" i="12"/>
  <c r="AE64"/>
  <c r="AF246" s="1"/>
  <c r="AE63"/>
  <c r="AE68" i="17" s="1"/>
  <c r="AE61" i="12"/>
  <c r="AE66" i="17" s="1"/>
  <c r="AE60" i="12"/>
  <c r="AE57"/>
  <c r="AE56"/>
  <c r="AE54"/>
  <c r="AE53"/>
  <c r="AE58" i="17" s="1"/>
  <c r="AE52" i="12"/>
  <c r="AE51"/>
  <c r="AE50"/>
  <c r="AE49"/>
  <c r="AE47"/>
  <c r="AE46"/>
  <c r="AE44"/>
  <c r="AE43"/>
  <c r="AE42"/>
  <c r="AE41"/>
  <c r="AE46" i="17" s="1"/>
  <c r="AE40" i="12"/>
  <c r="AE45" i="17" s="1"/>
  <c r="AE39" i="12"/>
  <c r="AE38"/>
  <c r="AE37"/>
  <c r="AE42" i="17" s="1"/>
  <c r="AE36" i="12"/>
  <c r="AE157" s="1"/>
  <c r="AE35"/>
  <c r="AE40" i="17" s="1"/>
  <c r="AE34" i="12"/>
  <c r="AE33"/>
  <c r="AE38" i="17" s="1"/>
  <c r="AE32" i="12"/>
  <c r="AE37" i="17" s="1"/>
  <c r="AE31" i="12"/>
  <c r="AE36" i="17" s="1"/>
  <c r="AE30" i="12"/>
  <c r="AE35" i="17" s="1"/>
  <c r="AE29" i="12"/>
  <c r="AE28"/>
  <c r="AE33" i="17" s="1"/>
  <c r="AE27" i="12"/>
  <c r="AE153" s="1"/>
  <c r="AE26"/>
  <c r="AE31" i="17" s="1"/>
  <c r="AE25" i="12"/>
  <c r="AE24"/>
  <c r="AE120" s="1"/>
  <c r="AE23"/>
  <c r="AE28" i="17" s="1"/>
  <c r="AE22" i="12"/>
  <c r="AF241" s="1"/>
  <c r="AE21"/>
  <c r="AE26" i="17" s="1"/>
  <c r="AE20" i="12"/>
  <c r="AE25" i="17" s="1"/>
  <c r="AE19" i="12"/>
  <c r="AE24" i="17" s="1"/>
  <c r="AF244" s="1"/>
  <c r="AE18" i="12"/>
  <c r="AE23" i="17" s="1"/>
  <c r="AE17" i="12"/>
  <c r="AE16"/>
  <c r="AE220" s="1"/>
  <c r="AE15"/>
  <c r="AE20" i="17" s="1"/>
  <c r="AE132" s="1"/>
  <c r="AE14" i="12"/>
  <c r="AE13"/>
  <c r="AE12"/>
  <c r="AE17" i="17" s="1"/>
  <c r="AE128" s="1"/>
  <c r="AE11" i="12"/>
  <c r="AE16" i="17" s="1"/>
  <c r="AE10" i="12"/>
  <c r="AE9"/>
  <c r="AE8"/>
  <c r="AE13" i="17" s="1"/>
  <c r="AE7" i="12"/>
  <c r="AE124" s="1"/>
  <c r="AE6"/>
  <c r="AE5"/>
  <c r="AD99"/>
  <c r="AD104" i="17" s="1"/>
  <c r="AD98" i="12"/>
  <c r="AD103" i="17" s="1"/>
  <c r="AD97" i="12"/>
  <c r="AD96"/>
  <c r="AD95"/>
  <c r="AD100" i="17" s="1"/>
  <c r="AD94" i="12"/>
  <c r="AD99" i="17" s="1"/>
  <c r="AE123" s="1"/>
  <c r="AD93" i="12"/>
  <c r="AD91"/>
  <c r="AD90"/>
  <c r="AD95" i="17" s="1"/>
  <c r="AD89" i="12"/>
  <c r="AD94" i="17" s="1"/>
  <c r="AD88" i="12"/>
  <c r="AD87"/>
  <c r="AD86"/>
  <c r="AD91" i="17" s="1"/>
  <c r="AD85" i="12"/>
  <c r="AD165" s="1"/>
  <c r="AD83"/>
  <c r="AD82"/>
  <c r="AD81"/>
  <c r="AE243" s="1"/>
  <c r="AD80"/>
  <c r="AD79"/>
  <c r="AD78"/>
  <c r="AD77"/>
  <c r="AD82" i="17" s="1"/>
  <c r="AD76" i="12"/>
  <c r="AD75"/>
  <c r="AD74"/>
  <c r="AD73"/>
  <c r="AD72"/>
  <c r="AD77" i="17" s="1"/>
  <c r="AE235" s="1"/>
  <c r="AD70" i="12"/>
  <c r="AD69"/>
  <c r="AD68"/>
  <c r="AD73" i="17" s="1"/>
  <c r="AD67" i="12"/>
  <c r="AD72" i="17" s="1"/>
  <c r="AE253" s="1"/>
  <c r="AD66" i="12"/>
  <c r="AD65"/>
  <c r="AD64"/>
  <c r="AD63"/>
  <c r="AE245" s="1"/>
  <c r="AD61"/>
  <c r="AD60"/>
  <c r="AD57"/>
  <c r="AD59" s="1"/>
  <c r="AD56"/>
  <c r="AD58" s="1"/>
  <c r="AD54"/>
  <c r="AD53"/>
  <c r="AD52"/>
  <c r="AD51"/>
  <c r="AD50"/>
  <c r="AD49"/>
  <c r="AD47"/>
  <c r="AD46"/>
  <c r="AD44"/>
  <c r="AD43"/>
  <c r="AD42"/>
  <c r="AD41"/>
  <c r="AD40"/>
  <c r="AD39"/>
  <c r="AD38"/>
  <c r="AD43" i="17" s="1"/>
  <c r="AD39" s="1"/>
  <c r="AD37" i="12"/>
  <c r="AD42" i="17" s="1"/>
  <c r="AD36" i="12"/>
  <c r="AD35"/>
  <c r="AD160" s="1"/>
  <c r="AD34"/>
  <c r="AD33"/>
  <c r="AD38" i="17" s="1"/>
  <c r="AD32" i="12"/>
  <c r="AD31"/>
  <c r="AD30"/>
  <c r="AD35" i="17" s="1"/>
  <c r="AD29" i="12"/>
  <c r="AD28"/>
  <c r="AD27"/>
  <c r="AD26"/>
  <c r="AD153" s="1"/>
  <c r="AD25"/>
  <c r="AD24"/>
  <c r="AD120" s="1"/>
  <c r="AD23"/>
  <c r="AD28" i="17" s="1"/>
  <c r="AD22" i="12"/>
  <c r="AE241" s="1"/>
  <c r="AD21"/>
  <c r="AD26" i="17" s="1"/>
  <c r="AD171" s="1"/>
  <c r="AD20" i="12"/>
  <c r="AD19"/>
  <c r="AD18"/>
  <c r="AD17"/>
  <c r="AD16"/>
  <c r="AD15"/>
  <c r="AD14"/>
  <c r="AD19" i="17" s="1"/>
  <c r="AD13" i="12"/>
  <c r="AE231" s="1"/>
  <c r="AD12"/>
  <c r="AD11"/>
  <c r="AD10"/>
  <c r="AD15" i="17" s="1"/>
  <c r="AD9" i="12"/>
  <c r="AD14" i="17" s="1"/>
  <c r="AD8" i="12"/>
  <c r="AD13" i="17" s="1"/>
  <c r="AD7" i="12"/>
  <c r="AD6"/>
  <c r="AD5"/>
  <c r="AD196" s="1"/>
  <c r="AC99"/>
  <c r="AC104" i="17" s="1"/>
  <c r="AC98" i="12"/>
  <c r="AC103" i="17" s="1"/>
  <c r="AC97" i="12"/>
  <c r="AC102" i="17" s="1"/>
  <c r="AC96" i="12"/>
  <c r="AC101" i="17" s="1"/>
  <c r="AC95" i="12"/>
  <c r="AC100" i="17" s="1"/>
  <c r="AC94" i="12"/>
  <c r="AC99" i="17" s="1"/>
  <c r="AD123" s="1"/>
  <c r="AC93" i="12"/>
  <c r="AC98" i="17" s="1"/>
  <c r="AC91" i="12"/>
  <c r="AC148" s="1"/>
  <c r="AC90"/>
  <c r="AC95" i="17" s="1"/>
  <c r="AC89" i="12"/>
  <c r="AC94" i="17" s="1"/>
  <c r="AC88" i="12"/>
  <c r="AC93" i="17" s="1"/>
  <c r="AC87" i="12"/>
  <c r="AC86"/>
  <c r="AC85"/>
  <c r="AC83"/>
  <c r="AC88" i="17" s="1"/>
  <c r="AC82" i="12"/>
  <c r="AC87" i="17" s="1"/>
  <c r="AC81" i="12"/>
  <c r="AC80"/>
  <c r="AC85" i="17" s="1"/>
  <c r="AC79" i="12"/>
  <c r="AC84" i="17" s="1"/>
  <c r="AC78" i="12"/>
  <c r="AC77"/>
  <c r="AC76"/>
  <c r="AC75"/>
  <c r="AC80" i="17" s="1"/>
  <c r="AC74" i="12"/>
  <c r="AC79" i="17" s="1"/>
  <c r="AC73" i="12"/>
  <c r="AC72"/>
  <c r="AC77" i="17" s="1"/>
  <c r="AC70" i="12"/>
  <c r="AC151" s="1"/>
  <c r="AC69"/>
  <c r="AC74" i="17" s="1"/>
  <c r="AC68" i="12"/>
  <c r="AC73" i="17" s="1"/>
  <c r="AC67" i="12"/>
  <c r="AC66"/>
  <c r="AC65"/>
  <c r="AC64"/>
  <c r="AC69" i="17" s="1"/>
  <c r="AD251" s="1"/>
  <c r="AC63" i="12"/>
  <c r="AC61"/>
  <c r="AC66" i="17" s="1"/>
  <c r="AC60" i="12"/>
  <c r="AC65" i="17" s="1"/>
  <c r="AC57" i="12"/>
  <c r="AC56"/>
  <c r="AC54"/>
  <c r="AC58" s="1"/>
  <c r="AC53"/>
  <c r="AC58" i="17" s="1"/>
  <c r="AC52" i="12"/>
  <c r="AC51"/>
  <c r="AC50"/>
  <c r="AC49"/>
  <c r="AC47"/>
  <c r="AC46"/>
  <c r="AC44"/>
  <c r="AC43"/>
  <c r="AC42"/>
  <c r="AC41"/>
  <c r="AC40"/>
  <c r="AC45" i="17" s="1"/>
  <c r="AC169" s="1"/>
  <c r="AC39" i="12"/>
  <c r="AC38"/>
  <c r="AC37"/>
  <c r="AC36"/>
  <c r="AC35"/>
  <c r="AC157" s="1"/>
  <c r="AC34"/>
  <c r="AC33"/>
  <c r="AC32"/>
  <c r="AC37" i="17" s="1"/>
  <c r="AC161" s="1"/>
  <c r="AC31" i="12"/>
  <c r="AC155" s="1"/>
  <c r="AC30"/>
  <c r="AC29"/>
  <c r="AC28"/>
  <c r="AC154" s="1"/>
  <c r="AC27"/>
  <c r="AC32" i="17" s="1"/>
  <c r="AC26" i="12"/>
  <c r="AC25"/>
  <c r="AC24"/>
  <c r="AC23"/>
  <c r="AC22"/>
  <c r="AC21"/>
  <c r="AC26" i="17" s="1"/>
  <c r="AC20" i="12"/>
  <c r="AC25" i="17" s="1"/>
  <c r="AC19" i="12"/>
  <c r="AC24" i="17" s="1"/>
  <c r="AD244" s="1"/>
  <c r="AC18" i="12"/>
  <c r="AD238" s="1"/>
  <c r="AC17"/>
  <c r="AC16"/>
  <c r="AC15"/>
  <c r="AC20" i="17" s="1"/>
  <c r="AC14" i="12"/>
  <c r="AC13"/>
  <c r="AC12"/>
  <c r="AC17" i="17" s="1"/>
  <c r="AC128" s="1"/>
  <c r="AC11" i="12"/>
  <c r="AC16" i="17" s="1"/>
  <c r="AC10" i="12"/>
  <c r="AC9"/>
  <c r="AC8"/>
  <c r="AC7"/>
  <c r="AC12" i="17" s="1"/>
  <c r="AC6" i="12"/>
  <c r="AC5"/>
  <c r="AB99"/>
  <c r="AB104" i="17" s="1"/>
  <c r="AB98" i="12"/>
  <c r="AB103" i="17" s="1"/>
  <c r="AB97" i="12"/>
  <c r="AB96"/>
  <c r="AB95"/>
  <c r="AB140" s="1"/>
  <c r="AB94"/>
  <c r="AB99" i="17" s="1"/>
  <c r="AC123" s="1"/>
  <c r="AB93" i="12"/>
  <c r="AB91"/>
  <c r="AB90"/>
  <c r="AB95" i="17" s="1"/>
  <c r="AB89" i="12"/>
  <c r="AB88"/>
  <c r="AB87"/>
  <c r="AB86"/>
  <c r="AB91" i="17" s="1"/>
  <c r="AB85" i="12"/>
  <c r="AB83"/>
  <c r="AB82"/>
  <c r="AB81"/>
  <c r="AC243" s="1"/>
  <c r="AB80"/>
  <c r="AB135" s="1"/>
  <c r="AB79"/>
  <c r="AB84" i="17" s="1"/>
  <c r="AB78" i="12"/>
  <c r="AB77"/>
  <c r="AB82" i="17" s="1"/>
  <c r="AB76" i="12"/>
  <c r="AB81" i="17" s="1"/>
  <c r="AB75" i="12"/>
  <c r="AB74"/>
  <c r="AB79" i="17" s="1"/>
  <c r="AB73" i="12"/>
  <c r="AB72"/>
  <c r="AB70"/>
  <c r="AB75" i="17" s="1"/>
  <c r="AB69" i="12"/>
  <c r="AB74" i="17" s="1"/>
  <c r="AB68" i="12"/>
  <c r="AB73" i="17" s="1"/>
  <c r="AB67" i="12"/>
  <c r="AB66"/>
  <c r="AB71" i="17" s="1"/>
  <c r="AB65" i="12"/>
  <c r="AB64"/>
  <c r="AB63"/>
  <c r="AB224" s="1"/>
  <c r="AB61"/>
  <c r="AB60"/>
  <c r="AB65" i="17" s="1"/>
  <c r="AB57" i="12"/>
  <c r="AB59" s="1"/>
  <c r="AB56"/>
  <c r="AB54"/>
  <c r="AB53"/>
  <c r="AB58" i="17" s="1"/>
  <c r="AB52" i="12"/>
  <c r="AB51"/>
  <c r="AB50"/>
  <c r="AB49"/>
  <c r="AB47"/>
  <c r="AB46"/>
  <c r="AB44"/>
  <c r="AB43"/>
  <c r="AB42"/>
  <c r="AB41"/>
  <c r="AB46" i="17" s="1"/>
  <c r="AB40" i="12"/>
  <c r="AB161" s="1"/>
  <c r="AB39"/>
  <c r="AB38"/>
  <c r="AB43" i="17" s="1"/>
  <c r="AB37" i="12"/>
  <c r="AB42" i="17" s="1"/>
  <c r="AB36" i="12"/>
  <c r="AB35"/>
  <c r="AB34"/>
  <c r="AB33"/>
  <c r="AB38" i="17" s="1"/>
  <c r="AB32" i="12"/>
  <c r="AB31"/>
  <c r="AB36" i="17" s="1"/>
  <c r="AB30" i="12"/>
  <c r="AB29"/>
  <c r="AB34" i="17" s="1"/>
  <c r="AB28" i="12"/>
  <c r="AB27"/>
  <c r="AB26"/>
  <c r="AB31" i="17" s="1"/>
  <c r="AB25" i="12"/>
  <c r="AB24"/>
  <c r="AB23"/>
  <c r="AB22"/>
  <c r="AB27" i="17" s="1"/>
  <c r="AC246" s="1"/>
  <c r="AB21" i="12"/>
  <c r="AB20"/>
  <c r="AB19"/>
  <c r="AB24" i="17" s="1"/>
  <c r="AC244" s="1"/>
  <c r="AB18" i="12"/>
  <c r="AB23" i="17" s="1"/>
  <c r="AB17" i="12"/>
  <c r="AB223" s="1"/>
  <c r="AB16"/>
  <c r="AB15"/>
  <c r="AB20" i="17" s="1"/>
  <c r="AB14" i="12"/>
  <c r="AB19" i="17" s="1"/>
  <c r="AB13" i="12"/>
  <c r="AC231" s="1"/>
  <c r="AB12"/>
  <c r="AB17" i="17" s="1"/>
  <c r="AB11" i="12"/>
  <c r="AB16" i="17" s="1"/>
  <c r="AB10" i="12"/>
  <c r="AB122" s="1"/>
  <c r="AB9"/>
  <c r="AB14" i="17" s="1"/>
  <c r="AB8" i="12"/>
  <c r="AB13" i="17" s="1"/>
  <c r="AB7" i="12"/>
  <c r="AB12" i="17" s="1"/>
  <c r="AB6" i="12"/>
  <c r="AC229" s="1"/>
  <c r="AB5"/>
  <c r="AA99"/>
  <c r="AA104" i="17" s="1"/>
  <c r="AA98" i="12"/>
  <c r="AA103" i="17" s="1"/>
  <c r="AA97" i="12"/>
  <c r="AA102" i="17" s="1"/>
  <c r="AA96" i="12"/>
  <c r="AA101" i="17" s="1"/>
  <c r="AA95" i="12"/>
  <c r="AA94"/>
  <c r="AA99" i="17" s="1"/>
  <c r="AB123" s="1"/>
  <c r="AA93" i="12"/>
  <c r="AA91"/>
  <c r="AA148" s="1"/>
  <c r="AA90"/>
  <c r="AA89"/>
  <c r="AA94" i="17" s="1"/>
  <c r="AA88" i="12"/>
  <c r="AA93" i="17" s="1"/>
  <c r="AA87" i="12"/>
  <c r="AA115" s="1"/>
  <c r="AA86"/>
  <c r="AA85"/>
  <c r="AB119" s="1"/>
  <c r="AA83"/>
  <c r="AA88" i="17" s="1"/>
  <c r="AA82" i="12"/>
  <c r="AA87" i="17" s="1"/>
  <c r="AA81" i="12"/>
  <c r="AA80"/>
  <c r="AA79"/>
  <c r="AA84" i="17" s="1"/>
  <c r="AA78" i="12"/>
  <c r="AA77"/>
  <c r="AA76"/>
  <c r="AA81" i="17" s="1"/>
  <c r="AA75" i="12"/>
  <c r="AA74"/>
  <c r="AA73"/>
  <c r="AA78" i="17" s="1"/>
  <c r="AA72" i="12"/>
  <c r="AA70"/>
  <c r="AA75" i="17" s="1"/>
  <c r="AA69" i="12"/>
  <c r="AA74" i="17" s="1"/>
  <c r="AA68" i="12"/>
  <c r="AA67"/>
  <c r="AA66"/>
  <c r="AA65"/>
  <c r="AA64"/>
  <c r="AA63"/>
  <c r="AA61"/>
  <c r="AA66" i="17" s="1"/>
  <c r="AA60" i="12"/>
  <c r="AA65" i="17" s="1"/>
  <c r="AA57" i="12"/>
  <c r="AA56"/>
  <c r="AA54"/>
  <c r="AA59" s="1"/>
  <c r="AA53"/>
  <c r="AA58" i="17" s="1"/>
  <c r="AA52" i="12"/>
  <c r="AA51"/>
  <c r="AA50"/>
  <c r="AA49"/>
  <c r="AA47"/>
  <c r="AA46"/>
  <c r="AA44"/>
  <c r="AA49" i="17" s="1"/>
  <c r="AA43" i="12"/>
  <c r="AA42"/>
  <c r="AA41"/>
  <c r="AA40"/>
  <c r="AA39"/>
  <c r="AA38"/>
  <c r="AA37"/>
  <c r="AA36"/>
  <c r="AA41" i="17" s="1"/>
  <c r="AA35" i="12"/>
  <c r="AA34"/>
  <c r="AA33"/>
  <c r="AA32"/>
  <c r="AA156" s="1"/>
  <c r="AA31"/>
  <c r="AA36" i="17" s="1"/>
  <c r="AA30" i="12"/>
  <c r="AA29"/>
  <c r="AA28"/>
  <c r="AA33" i="17" s="1"/>
  <c r="AA27" i="12"/>
  <c r="AA32" i="17" s="1"/>
  <c r="AA158" s="1"/>
  <c r="AA26" i="12"/>
  <c r="AA25"/>
  <c r="AA24"/>
  <c r="AA23"/>
  <c r="AA22"/>
  <c r="AA21"/>
  <c r="AA20"/>
  <c r="AA25" i="17" s="1"/>
  <c r="AA19" i="12"/>
  <c r="AA18"/>
  <c r="AA17"/>
  <c r="AA16"/>
  <c r="AB234" s="1"/>
  <c r="AA15"/>
  <c r="AA127" s="1"/>
  <c r="AA14"/>
  <c r="AA13"/>
  <c r="AA12"/>
  <c r="AA11"/>
  <c r="AA16" i="17" s="1"/>
  <c r="AA10" i="12"/>
  <c r="AA9"/>
  <c r="AA8"/>
  <c r="AA13" i="17" s="1"/>
  <c r="AA7" i="12"/>
  <c r="AA12" i="17" s="1"/>
  <c r="AA6" i="12"/>
  <c r="AA5"/>
  <c r="Z99"/>
  <c r="Z104" i="17" s="1"/>
  <c r="Z98" i="12"/>
  <c r="Z103" i="17" s="1"/>
  <c r="Z97" i="12"/>
  <c r="Z96"/>
  <c r="Z95"/>
  <c r="Z94"/>
  <c r="Z93"/>
  <c r="Z91"/>
  <c r="Z90"/>
  <c r="Z95" i="17" s="1"/>
  <c r="Z89" i="12"/>
  <c r="Z88"/>
  <c r="Z87"/>
  <c r="Z86"/>
  <c r="Z91" i="17" s="1"/>
  <c r="Z85" i="12"/>
  <c r="Z165" s="1"/>
  <c r="Z83"/>
  <c r="Z82"/>
  <c r="Z81"/>
  <c r="Z136" s="1"/>
  <c r="Z80"/>
  <c r="Z85" i="17" s="1"/>
  <c r="Z140" s="1"/>
  <c r="Z79" i="12"/>
  <c r="Z78"/>
  <c r="Z77"/>
  <c r="Z82" i="17" s="1"/>
  <c r="Z76" i="12"/>
  <c r="Z75"/>
  <c r="Z74"/>
  <c r="Z79" i="17" s="1"/>
  <c r="Z73" i="12"/>
  <c r="Z72"/>
  <c r="Z70"/>
  <c r="Z75" i="17" s="1"/>
  <c r="Z69" i="12"/>
  <c r="Z74" i="17" s="1"/>
  <c r="Z68" i="12"/>
  <c r="Z73" i="17" s="1"/>
  <c r="Z67" i="12"/>
  <c r="Z66"/>
  <c r="Z71" i="17" s="1"/>
  <c r="Z65" i="12"/>
  <c r="Z64"/>
  <c r="Z69" i="17" s="1"/>
  <c r="AA251" s="1"/>
  <c r="Z63" i="12"/>
  <c r="Z61"/>
  <c r="Z60"/>
  <c r="Z57"/>
  <c r="Z56"/>
  <c r="Z58" s="1"/>
  <c r="Z54"/>
  <c r="Z53"/>
  <c r="Z58" i="17" s="1"/>
  <c r="Z52" i="12"/>
  <c r="Z51"/>
  <c r="Z50"/>
  <c r="Z49"/>
  <c r="Z47"/>
  <c r="Z46"/>
  <c r="Z44"/>
  <c r="Z43"/>
  <c r="Z42"/>
  <c r="Z41"/>
  <c r="Z46" i="17" s="1"/>
  <c r="Z40" i="12"/>
  <c r="Z39"/>
  <c r="Z38"/>
  <c r="Z43" i="17" s="1"/>
  <c r="Z37" i="12"/>
  <c r="Z42" i="17" s="1"/>
  <c r="Z36" i="12"/>
  <c r="Z41" i="17" s="1"/>
  <c r="Z35" i="12"/>
  <c r="Z160" s="1"/>
  <c r="Z34"/>
  <c r="Z33"/>
  <c r="Z38" i="17" s="1"/>
  <c r="Z32" i="12"/>
  <c r="Z37" i="17" s="1"/>
  <c r="Z31" i="12"/>
  <c r="Z36" i="17" s="1"/>
  <c r="Z30" i="12"/>
  <c r="Z35" i="17" s="1"/>
  <c r="Z29" i="12"/>
  <c r="Z34" i="17" s="1"/>
  <c r="Z28" i="12"/>
  <c r="Z27"/>
  <c r="Z32" i="17" s="1"/>
  <c r="Z26" i="12"/>
  <c r="Z31" i="17" s="1"/>
  <c r="Z25" i="12"/>
  <c r="Z24"/>
  <c r="Z23"/>
  <c r="Z22"/>
  <c r="AA241" s="1"/>
  <c r="Z21"/>
  <c r="Z26" i="17" s="1"/>
  <c r="Z20" i="12"/>
  <c r="Z139" s="1"/>
  <c r="Z19"/>
  <c r="Z18"/>
  <c r="Z17"/>
  <c r="Z148" s="1"/>
  <c r="Z16"/>
  <c r="Z220" s="1"/>
  <c r="Z15"/>
  <c r="Z14"/>
  <c r="Z13"/>
  <c r="Z12"/>
  <c r="Z11"/>
  <c r="Z10"/>
  <c r="Z15" i="17" s="1"/>
  <c r="Z9" i="12"/>
  <c r="Z14" i="17" s="1"/>
  <c r="Z8" i="12"/>
  <c r="Z13" i="17" s="1"/>
  <c r="Z7" i="12"/>
  <c r="Z12" i="17" s="1"/>
  <c r="Z6" i="12"/>
  <c r="Z11" i="17" s="1"/>
  <c r="Z5" i="12"/>
  <c r="Y99"/>
  <c r="Y104" i="17" s="1"/>
  <c r="Y98" i="12"/>
  <c r="Y97"/>
  <c r="Y102" i="17" s="1"/>
  <c r="Y96" i="12"/>
  <c r="Y101" i="17" s="1"/>
  <c r="Y95" i="12"/>
  <c r="Y100" i="17" s="1"/>
  <c r="Y94" i="12"/>
  <c r="Y93"/>
  <c r="Y98" i="17" s="1"/>
  <c r="Y91" i="12"/>
  <c r="Y96" i="17" s="1"/>
  <c r="Y90" i="12"/>
  <c r="Y95" i="17" s="1"/>
  <c r="Y89" i="12"/>
  <c r="Y88"/>
  <c r="Y93" i="17" s="1"/>
  <c r="Y87" i="12"/>
  <c r="Y92" i="17" s="1"/>
  <c r="Y120" s="1"/>
  <c r="Y86" i="12"/>
  <c r="Y91" i="17" s="1"/>
  <c r="Y85" i="12"/>
  <c r="Z119" s="1"/>
  <c r="Y83"/>
  <c r="Y88" i="17" s="1"/>
  <c r="Y82" i="12"/>
  <c r="Y136" s="1"/>
  <c r="Y81"/>
  <c r="Z243" s="1"/>
  <c r="Y80"/>
  <c r="Y85" i="17" s="1"/>
  <c r="Y79" i="12"/>
  <c r="Y134" s="1"/>
  <c r="Y78"/>
  <c r="Y77"/>
  <c r="Y76"/>
  <c r="Y75"/>
  <c r="Z233" s="1"/>
  <c r="Y74"/>
  <c r="Y79" i="17" s="1"/>
  <c r="Y73" i="12"/>
  <c r="Y78" i="17" s="1"/>
  <c r="Y72" i="12"/>
  <c r="Y70"/>
  <c r="Y75" i="17" s="1"/>
  <c r="Y69" i="12"/>
  <c r="Y74" i="17" s="1"/>
  <c r="Y68" i="12"/>
  <c r="Y67"/>
  <c r="Y72" i="17" s="1"/>
  <c r="Z253" s="1"/>
  <c r="Y66" i="12"/>
  <c r="Z247" s="1"/>
  <c r="Y65"/>
  <c r="Y64"/>
  <c r="Y69" i="17" s="1"/>
  <c r="Z251" s="1"/>
  <c r="Y63" i="12"/>
  <c r="Z245" s="1"/>
  <c r="Y61"/>
  <c r="Y129" s="1"/>
  <c r="Y60"/>
  <c r="Y65" i="17" s="1"/>
  <c r="Y57" i="12"/>
  <c r="Y56"/>
  <c r="Y54"/>
  <c r="Y58" s="1"/>
  <c r="Y53"/>
  <c r="Y58" i="17" s="1"/>
  <c r="Y52" i="12"/>
  <c r="Y51"/>
  <c r="Y50"/>
  <c r="Y49"/>
  <c r="Y47"/>
  <c r="Y46"/>
  <c r="Y44"/>
  <c r="Y49" i="17" s="1"/>
  <c r="Y43" i="12"/>
  <c r="Y42"/>
  <c r="Y41"/>
  <c r="Y40"/>
  <c r="Y45" i="17" s="1"/>
  <c r="Y39" i="12"/>
  <c r="Y38"/>
  <c r="Y43" i="17" s="1"/>
  <c r="Y37" i="12"/>
  <c r="Y42" i="17" s="1"/>
  <c r="Y36" i="12"/>
  <c r="Y41" i="17" s="1"/>
  <c r="Y35" i="12"/>
  <c r="Y34"/>
  <c r="Y33"/>
  <c r="Y32"/>
  <c r="Y37" i="17" s="1"/>
  <c r="Y31" i="12"/>
  <c r="Y36" i="17" s="1"/>
  <c r="Y30" i="12"/>
  <c r="Y29"/>
  <c r="Y34" i="17" s="1"/>
  <c r="Y28" i="12"/>
  <c r="Y27"/>
  <c r="Y32" i="17" s="1"/>
  <c r="Y26" i="12"/>
  <c r="Y31" i="17" s="1"/>
  <c r="Y25" i="12"/>
  <c r="Y24"/>
  <c r="Y120" s="1"/>
  <c r="Y23"/>
  <c r="Y22"/>
  <c r="Z241" s="1"/>
  <c r="Y21"/>
  <c r="Y20"/>
  <c r="Y139" s="1"/>
  <c r="Y19"/>
  <c r="Z239" s="1"/>
  <c r="Y18"/>
  <c r="Y17"/>
  <c r="Y145" s="1"/>
  <c r="Y16"/>
  <c r="Y15"/>
  <c r="Y20" i="17" s="1"/>
  <c r="Y14" i="12"/>
  <c r="Y219" s="1"/>
  <c r="Y13"/>
  <c r="Y12"/>
  <c r="Y17" i="17" s="1"/>
  <c r="Y11" i="12"/>
  <c r="Y16" i="17" s="1"/>
  <c r="Y10" i="12"/>
  <c r="Y122" s="1"/>
  <c r="Y9"/>
  <c r="Y14" i="17" s="1"/>
  <c r="Y8" i="12"/>
  <c r="Y13" i="17" s="1"/>
  <c r="Y7" i="12"/>
  <c r="Y12" i="17" s="1"/>
  <c r="Y6" i="12"/>
  <c r="Y5"/>
  <c r="Y193" s="1"/>
  <c r="X99"/>
  <c r="X104" i="17" s="1"/>
  <c r="X98" i="12"/>
  <c r="X103" i="17" s="1"/>
  <c r="X97" i="12"/>
  <c r="X96"/>
  <c r="X95"/>
  <c r="X140" s="1"/>
  <c r="X94"/>
  <c r="X99" i="17" s="1"/>
  <c r="Y123" s="1"/>
  <c r="X93" i="12"/>
  <c r="X98" i="17" s="1"/>
  <c r="X91" i="12"/>
  <c r="X96" i="17" s="1"/>
  <c r="X90" i="12"/>
  <c r="X95" i="17" s="1"/>
  <c r="X89" i="12"/>
  <c r="X94" i="17" s="1"/>
  <c r="X88" i="12"/>
  <c r="X87"/>
  <c r="X115" s="1"/>
  <c r="X86"/>
  <c r="X85"/>
  <c r="Y119" s="1"/>
  <c r="X83"/>
  <c r="X82"/>
  <c r="X87" i="17" s="1"/>
  <c r="X81" i="12"/>
  <c r="X80"/>
  <c r="X85" i="17" s="1"/>
  <c r="X79" i="12"/>
  <c r="X78"/>
  <c r="X77"/>
  <c r="X133" s="1"/>
  <c r="X76"/>
  <c r="X81" i="17" s="1"/>
  <c r="X75" i="12"/>
  <c r="X80" i="17" s="1"/>
  <c r="X74" i="12"/>
  <c r="X79" i="17" s="1"/>
  <c r="X73" i="12"/>
  <c r="X78" i="17" s="1"/>
  <c r="X72" i="12"/>
  <c r="X77" i="17" s="1"/>
  <c r="X70" i="12"/>
  <c r="X69"/>
  <c r="X68"/>
  <c r="X73" i="17" s="1"/>
  <c r="X67" i="12"/>
  <c r="X66"/>
  <c r="X65"/>
  <c r="X64"/>
  <c r="X63"/>
  <c r="X61"/>
  <c r="X60"/>
  <c r="X57"/>
  <c r="X59" s="1"/>
  <c r="X56"/>
  <c r="X54"/>
  <c r="X53"/>
  <c r="X52"/>
  <c r="X51"/>
  <c r="X50"/>
  <c r="X49"/>
  <c r="X47"/>
  <c r="X46"/>
  <c r="X44"/>
  <c r="X43"/>
  <c r="X42"/>
  <c r="X41"/>
  <c r="X40"/>
  <c r="X39"/>
  <c r="X38"/>
  <c r="X43" i="17" s="1"/>
  <c r="X37" i="12"/>
  <c r="X42" i="17" s="1"/>
  <c r="X36" i="12"/>
  <c r="X35"/>
  <c r="X34"/>
  <c r="X33"/>
  <c r="X38" i="17" s="1"/>
  <c r="X161" s="1"/>
  <c r="X32" i="12"/>
  <c r="X31"/>
  <c r="X30"/>
  <c r="X29"/>
  <c r="X28"/>
  <c r="X27"/>
  <c r="X26"/>
  <c r="X25"/>
  <c r="X24"/>
  <c r="X23"/>
  <c r="X22"/>
  <c r="X27" i="17" s="1"/>
  <c r="Y246" s="1"/>
  <c r="X21" i="12"/>
  <c r="X20"/>
  <c r="X19"/>
  <c r="X18"/>
  <c r="X17"/>
  <c r="X16"/>
  <c r="X15"/>
  <c r="X14"/>
  <c r="X13"/>
  <c r="Y231" s="1"/>
  <c r="X12"/>
  <c r="X11"/>
  <c r="X10"/>
  <c r="X9"/>
  <c r="X8"/>
  <c r="X7"/>
  <c r="X6"/>
  <c r="X11" i="17" s="1"/>
  <c r="Y234" s="1"/>
  <c r="X5" i="12"/>
  <c r="X191" s="1"/>
  <c r="W99"/>
  <c r="W98"/>
  <c r="W103" i="17" s="1"/>
  <c r="W97" i="12"/>
  <c r="W102" i="17" s="1"/>
  <c r="W96" i="12"/>
  <c r="W101" i="17" s="1"/>
  <c r="W95" i="12"/>
  <c r="W94"/>
  <c r="W93"/>
  <c r="W98" i="17" s="1"/>
  <c r="W91" i="12"/>
  <c r="W90"/>
  <c r="W89"/>
  <c r="W88"/>
  <c r="W87"/>
  <c r="W86"/>
  <c r="W85"/>
  <c r="W83"/>
  <c r="W88" i="17" s="1"/>
  <c r="W82" i="12"/>
  <c r="W87" i="17" s="1"/>
  <c r="W81" i="12"/>
  <c r="W80"/>
  <c r="W79"/>
  <c r="W84" i="17" s="1"/>
  <c r="W78" i="12"/>
  <c r="W77"/>
  <c r="W76"/>
  <c r="W75"/>
  <c r="W74"/>
  <c r="W79" i="17" s="1"/>
  <c r="W73" i="12"/>
  <c r="W72"/>
  <c r="W70"/>
  <c r="W75" i="17" s="1"/>
  <c r="W69" i="12"/>
  <c r="W68"/>
  <c r="W67"/>
  <c r="W66"/>
  <c r="W71" i="17" s="1"/>
  <c r="X252" s="1"/>
  <c r="W65" i="12"/>
  <c r="W64"/>
  <c r="W63"/>
  <c r="W61"/>
  <c r="W66" i="17" s="1"/>
  <c r="W60" i="12"/>
  <c r="W57"/>
  <c r="W56"/>
  <c r="W54"/>
  <c r="W59" s="1"/>
  <c r="W53"/>
  <c r="W58" i="17" s="1"/>
  <c r="W52" i="12"/>
  <c r="W51"/>
  <c r="W50"/>
  <c r="W49"/>
  <c r="W47"/>
  <c r="W46"/>
  <c r="W44"/>
  <c r="W43"/>
  <c r="W42"/>
  <c r="W41"/>
  <c r="W40"/>
  <c r="W164" s="1"/>
  <c r="W39"/>
  <c r="W38"/>
  <c r="W43" i="17" s="1"/>
  <c r="W37" i="12"/>
  <c r="W42" i="17" s="1"/>
  <c r="W36" i="12"/>
  <c r="W157" s="1"/>
  <c r="W35"/>
  <c r="W40" i="17" s="1"/>
  <c r="W34" i="12"/>
  <c r="W33"/>
  <c r="W32"/>
  <c r="W37" i="17" s="1"/>
  <c r="W31" i="12"/>
  <c r="W36" i="17" s="1"/>
  <c r="W30" i="12"/>
  <c r="W35" i="17" s="1"/>
  <c r="W29" i="12"/>
  <c r="W34" i="17" s="1"/>
  <c r="W28" i="12"/>
  <c r="W33" i="17" s="1"/>
  <c r="W27" i="12"/>
  <c r="W32" i="17" s="1"/>
  <c r="W26" i="12"/>
  <c r="W31" i="17" s="1"/>
  <c r="W25" i="12"/>
  <c r="W24"/>
  <c r="W120" s="1"/>
  <c r="W23"/>
  <c r="W22"/>
  <c r="W143" s="1"/>
  <c r="W21"/>
  <c r="W166" s="1"/>
  <c r="W20"/>
  <c r="W19"/>
  <c r="W18"/>
  <c r="W17"/>
  <c r="W222" s="1"/>
  <c r="W16"/>
  <c r="W15"/>
  <c r="W20" i="17" s="1"/>
  <c r="W14" i="12"/>
  <c r="W219" s="1"/>
  <c r="W13"/>
  <c r="X231" s="1"/>
  <c r="W12"/>
  <c r="W17" i="17" s="1"/>
  <c r="W11" i="12"/>
  <c r="W16" i="17" s="1"/>
  <c r="W10" i="12"/>
  <c r="W9"/>
  <c r="W8"/>
  <c r="W13" i="17" s="1"/>
  <c r="W7" i="12"/>
  <c r="W12" i="17" s="1"/>
  <c r="W6" i="12"/>
  <c r="W5"/>
  <c r="V99"/>
  <c r="V104" i="17" s="1"/>
  <c r="V98" i="12"/>
  <c r="V97"/>
  <c r="V102" i="17" s="1"/>
  <c r="V96" i="12"/>
  <c r="V101" i="17" s="1"/>
  <c r="V95" i="12"/>
  <c r="V100" i="17" s="1"/>
  <c r="V94" i="12"/>
  <c r="V93"/>
  <c r="V98" i="17" s="1"/>
  <c r="V91" i="12"/>
  <c r="V90"/>
  <c r="V95" i="17" s="1"/>
  <c r="V89" i="12"/>
  <c r="V94" i="17" s="1"/>
  <c r="V88" i="12"/>
  <c r="V93" i="17" s="1"/>
  <c r="V87" i="12"/>
  <c r="V92" i="17" s="1"/>
  <c r="V120" s="1"/>
  <c r="V86" i="12"/>
  <c r="V91" i="17" s="1"/>
  <c r="V85" i="12"/>
  <c r="V83"/>
  <c r="V88" i="17" s="1"/>
  <c r="V82" i="12"/>
  <c r="V87" i="17" s="1"/>
  <c r="V81" i="12"/>
  <c r="V152" s="1"/>
  <c r="V80"/>
  <c r="V85" i="17" s="1"/>
  <c r="V79" i="12"/>
  <c r="V84" i="17" s="1"/>
  <c r="V78" i="12"/>
  <c r="V83" i="17" s="1"/>
  <c r="V77" i="12"/>
  <c r="V82" i="17" s="1"/>
  <c r="V76" i="12"/>
  <c r="V81" i="17" s="1"/>
  <c r="V75" i="12"/>
  <c r="V74"/>
  <c r="V79" i="17" s="1"/>
  <c r="V73" i="12"/>
  <c r="V78" i="17" s="1"/>
  <c r="V72" i="12"/>
  <c r="V70"/>
  <c r="V75" i="17" s="1"/>
  <c r="V69" i="12"/>
  <c r="V74" i="17" s="1"/>
  <c r="V68" i="12"/>
  <c r="V73" i="17" s="1"/>
  <c r="V67" i="12"/>
  <c r="V66"/>
  <c r="V71" i="17" s="1"/>
  <c r="V65" i="12"/>
  <c r="V64"/>
  <c r="V69" i="17" s="1"/>
  <c r="W251" s="1"/>
  <c r="V63" i="12"/>
  <c r="W245" s="1"/>
  <c r="V61"/>
  <c r="V66" i="17" s="1"/>
  <c r="V60" i="12"/>
  <c r="V57"/>
  <c r="V56"/>
  <c r="V54"/>
  <c r="V53"/>
  <c r="V58" i="17" s="1"/>
  <c r="V52" i="12"/>
  <c r="V51"/>
  <c r="V50"/>
  <c r="V49"/>
  <c r="V47"/>
  <c r="V46"/>
  <c r="V44"/>
  <c r="V49" i="17" s="1"/>
  <c r="V43" i="12"/>
  <c r="V42"/>
  <c r="V41"/>
  <c r="V46" i="17" s="1"/>
  <c r="V40" i="12"/>
  <c r="V45" i="17" s="1"/>
  <c r="V39" i="12"/>
  <c r="V38"/>
  <c r="V43" i="17" s="1"/>
  <c r="V37" i="12"/>
  <c r="V42" i="17" s="1"/>
  <c r="V36" i="12"/>
  <c r="V41" i="17" s="1"/>
  <c r="V35" i="12"/>
  <c r="V34"/>
  <c r="V33"/>
  <c r="V156" s="1"/>
  <c r="V32"/>
  <c r="V37" i="17" s="1"/>
  <c r="V31" i="12"/>
  <c r="V36" i="17" s="1"/>
  <c r="V30" i="12"/>
  <c r="V35" i="17" s="1"/>
  <c r="V29" i="12"/>
  <c r="V34" i="17" s="1"/>
  <c r="V28" i="12"/>
  <c r="V27"/>
  <c r="V32" i="17" s="1"/>
  <c r="V26" i="12"/>
  <c r="V31" i="17" s="1"/>
  <c r="V25" i="12"/>
  <c r="V24"/>
  <c r="V23"/>
  <c r="V28" i="17" s="1"/>
  <c r="V22" i="12"/>
  <c r="W241" s="1"/>
  <c r="V21"/>
  <c r="W240" s="1"/>
  <c r="V20"/>
  <c r="V19"/>
  <c r="V18"/>
  <c r="W238" s="1"/>
  <c r="V17"/>
  <c r="V22" i="17" s="1"/>
  <c r="V227" s="1"/>
  <c r="V16" i="12"/>
  <c r="V15"/>
  <c r="V14"/>
  <c r="V13"/>
  <c r="V12"/>
  <c r="V17" i="17" s="1"/>
  <c r="V11" i="12"/>
  <c r="V16" i="17" s="1"/>
  <c r="V10" i="12"/>
  <c r="V15" i="17" s="1"/>
  <c r="V9" i="12"/>
  <c r="V8"/>
  <c r="V7"/>
  <c r="V12" i="17" s="1"/>
  <c r="V6" i="12"/>
  <c r="W229" s="1"/>
  <c r="V5"/>
  <c r="U99"/>
  <c r="U98"/>
  <c r="U97"/>
  <c r="U102" i="17" s="1"/>
  <c r="U96" i="12"/>
  <c r="U101" i="17" s="1"/>
  <c r="U95" i="12"/>
  <c r="U100" i="17" s="1"/>
  <c r="U94" i="12"/>
  <c r="U99" i="17" s="1"/>
  <c r="V123" s="1"/>
  <c r="U93" i="12"/>
  <c r="U98" i="17" s="1"/>
  <c r="U91" i="12"/>
  <c r="U96" i="17" s="1"/>
  <c r="U90" i="12"/>
  <c r="U95" i="17" s="1"/>
  <c r="U89" i="12"/>
  <c r="U88"/>
  <c r="U93" i="17" s="1"/>
  <c r="U87" i="12"/>
  <c r="U138" s="1"/>
  <c r="U86"/>
  <c r="U91" i="17" s="1"/>
  <c r="U85" i="12"/>
  <c r="V119" s="1"/>
  <c r="U83"/>
  <c r="U88" i="17" s="1"/>
  <c r="U82" i="12"/>
  <c r="U87" i="17" s="1"/>
  <c r="U81" i="12"/>
  <c r="U86" i="17" s="1"/>
  <c r="U80" i="12"/>
  <c r="U85" i="17" s="1"/>
  <c r="U79" i="12"/>
  <c r="U78"/>
  <c r="U77"/>
  <c r="U76"/>
  <c r="U75"/>
  <c r="U74"/>
  <c r="U79" i="17" s="1"/>
  <c r="U73" i="12"/>
  <c r="U72"/>
  <c r="U70"/>
  <c r="U75" i="17" s="1"/>
  <c r="U69" i="12"/>
  <c r="U74" i="17" s="1"/>
  <c r="U68" i="12"/>
  <c r="U73" i="17" s="1"/>
  <c r="U67" i="12"/>
  <c r="V248" s="1"/>
  <c r="U66"/>
  <c r="U71" i="17" s="1"/>
  <c r="U65" i="12"/>
  <c r="U64"/>
  <c r="U63"/>
  <c r="U224" s="1"/>
  <c r="U61"/>
  <c r="U159" s="1"/>
  <c r="U60"/>
  <c r="U57"/>
  <c r="U56"/>
  <c r="U54"/>
  <c r="U58" s="1"/>
  <c r="U53"/>
  <c r="U58" i="17" s="1"/>
  <c r="U52" i="12"/>
  <c r="U51"/>
  <c r="U50"/>
  <c r="U49"/>
  <c r="U47"/>
  <c r="U46"/>
  <c r="U44"/>
  <c r="U49" i="17" s="1"/>
  <c r="U43" i="12"/>
  <c r="U42"/>
  <c r="U41"/>
  <c r="U40"/>
  <c r="U45" i="17" s="1"/>
  <c r="U39" i="12"/>
  <c r="U161" s="1"/>
  <c r="U38"/>
  <c r="U43" i="17" s="1"/>
  <c r="U37" i="12"/>
  <c r="U36"/>
  <c r="U157" s="1"/>
  <c r="U35"/>
  <c r="U40" i="17" s="1"/>
  <c r="U34" i="12"/>
  <c r="U33"/>
  <c r="U32"/>
  <c r="U37" i="17" s="1"/>
  <c r="U31" i="12"/>
  <c r="U36" i="17" s="1"/>
  <c r="U30" i="12"/>
  <c r="U29"/>
  <c r="U28"/>
  <c r="U33" i="17" s="1"/>
  <c r="U27" i="12"/>
  <c r="U32" i="17" s="1"/>
  <c r="U26" i="12"/>
  <c r="U31" i="17" s="1"/>
  <c r="U25" i="12"/>
  <c r="U24"/>
  <c r="U120" s="1"/>
  <c r="U23"/>
  <c r="U242" s="1"/>
  <c r="U22"/>
  <c r="U27" i="17" s="1"/>
  <c r="U21" i="12"/>
  <c r="U20"/>
  <c r="U25" i="17" s="1"/>
  <c r="U19" i="12"/>
  <c r="U18"/>
  <c r="U17"/>
  <c r="U16"/>
  <c r="U15"/>
  <c r="U20" i="17" s="1"/>
  <c r="U14" i="12"/>
  <c r="U13"/>
  <c r="U12"/>
  <c r="U11"/>
  <c r="U16" i="17" s="1"/>
  <c r="U10" i="12"/>
  <c r="U15" i="17" s="1"/>
  <c r="U9" i="12"/>
  <c r="U14" i="17" s="1"/>
  <c r="U8" i="12"/>
  <c r="U13" i="17" s="1"/>
  <c r="U7" i="12"/>
  <c r="U12" i="17" s="1"/>
  <c r="U6" i="12"/>
  <c r="U5"/>
  <c r="T99"/>
  <c r="T104" i="17" s="1"/>
  <c r="T98" i="12"/>
  <c r="T103" i="17" s="1"/>
  <c r="T97" i="12"/>
  <c r="T102" i="17" s="1"/>
  <c r="T96" i="12"/>
  <c r="T95"/>
  <c r="T94"/>
  <c r="T93"/>
  <c r="T98" i="17" s="1"/>
  <c r="T91" i="12"/>
  <c r="T90"/>
  <c r="T95" i="17" s="1"/>
  <c r="T89" i="12"/>
  <c r="T94" i="17" s="1"/>
  <c r="T88" i="12"/>
  <c r="T93" i="17" s="1"/>
  <c r="T87" i="12"/>
  <c r="T115" s="1"/>
  <c r="T86"/>
  <c r="T91" i="17" s="1"/>
  <c r="T85" i="12"/>
  <c r="T165" s="1"/>
  <c r="T83"/>
  <c r="T82"/>
  <c r="T81"/>
  <c r="T80"/>
  <c r="T135" s="1"/>
  <c r="T79"/>
  <c r="T78"/>
  <c r="T77"/>
  <c r="T82" i="17" s="1"/>
  <c r="T76" i="12"/>
  <c r="T132" s="1"/>
  <c r="T75"/>
  <c r="T74"/>
  <c r="T73"/>
  <c r="T72"/>
  <c r="T77" i="17" s="1"/>
  <c r="T70" i="12"/>
  <c r="T69"/>
  <c r="T68"/>
  <c r="T73" i="17" s="1"/>
  <c r="T67" i="12"/>
  <c r="T72" i="17" s="1"/>
  <c r="U253" s="1"/>
  <c r="T66" i="12"/>
  <c r="T65"/>
  <c r="T64"/>
  <c r="T63"/>
  <c r="T61"/>
  <c r="T60"/>
  <c r="T57"/>
  <c r="T182" s="1"/>
  <c r="T56"/>
  <c r="T54"/>
  <c r="T53"/>
  <c r="T58" i="17" s="1"/>
  <c r="T52" i="12"/>
  <c r="T51"/>
  <c r="T50"/>
  <c r="T49"/>
  <c r="T47"/>
  <c r="T46"/>
  <c r="T44"/>
  <c r="T43"/>
  <c r="T42"/>
  <c r="T41"/>
  <c r="T46" i="17" s="1"/>
  <c r="T40" i="12"/>
  <c r="T39"/>
  <c r="T38"/>
  <c r="T43" i="17" s="1"/>
  <c r="T37" i="12"/>
  <c r="T36"/>
  <c r="T35"/>
  <c r="T34"/>
  <c r="T33"/>
  <c r="T32"/>
  <c r="T31"/>
  <c r="T30"/>
  <c r="T29"/>
  <c r="T28"/>
  <c r="T27"/>
  <c r="T26"/>
  <c r="T25"/>
  <c r="T24"/>
  <c r="T23"/>
  <c r="T28" i="17" s="1"/>
  <c r="T22" i="12"/>
  <c r="T21"/>
  <c r="T20"/>
  <c r="T19"/>
  <c r="T18"/>
  <c r="T17"/>
  <c r="T235" s="1"/>
  <c r="T16"/>
  <c r="T15"/>
  <c r="T20" i="17" s="1"/>
  <c r="T14" i="12"/>
  <c r="T219" s="1"/>
  <c r="T13"/>
  <c r="T12"/>
  <c r="T11"/>
  <c r="T16" i="17" s="1"/>
  <c r="T10" i="12"/>
  <c r="T15" i="17" s="1"/>
  <c r="T9" i="12"/>
  <c r="T14" i="17" s="1"/>
  <c r="T8" i="12"/>
  <c r="T7"/>
  <c r="T6"/>
  <c r="T110" s="1"/>
  <c r="T5"/>
  <c r="S99"/>
  <c r="S98"/>
  <c r="S97"/>
  <c r="S102" i="17" s="1"/>
  <c r="S96" i="12"/>
  <c r="S95"/>
  <c r="S94"/>
  <c r="S93"/>
  <c r="S98" i="17" s="1"/>
  <c r="S91" i="12"/>
  <c r="S96" i="17" s="1"/>
  <c r="S90" i="12"/>
  <c r="S89"/>
  <c r="S88"/>
  <c r="S87"/>
  <c r="S86"/>
  <c r="S85"/>
  <c r="S83"/>
  <c r="S88" i="17" s="1"/>
  <c r="S142" s="1"/>
  <c r="S82" i="12"/>
  <c r="S81"/>
  <c r="S80"/>
  <c r="S79"/>
  <c r="S84" i="17" s="1"/>
  <c r="S78" i="12"/>
  <c r="S134" s="1"/>
  <c r="S77"/>
  <c r="S76"/>
  <c r="S75"/>
  <c r="T233" s="1"/>
  <c r="S74"/>
  <c r="S131" s="1"/>
  <c r="S73"/>
  <c r="S72"/>
  <c r="S70"/>
  <c r="S75" i="17" s="1"/>
  <c r="S69" i="12"/>
  <c r="S74" i="17" s="1"/>
  <c r="S68" i="12"/>
  <c r="S67"/>
  <c r="S66"/>
  <c r="T247" s="1"/>
  <c r="S65"/>
  <c r="S64"/>
  <c r="S63"/>
  <c r="S61"/>
  <c r="S66" i="17" s="1"/>
  <c r="S60" i="12"/>
  <c r="S57"/>
  <c r="S56"/>
  <c r="S54"/>
  <c r="S58" s="1"/>
  <c r="S53"/>
  <c r="S58" i="17" s="1"/>
  <c r="S52" i="12"/>
  <c r="S51"/>
  <c r="S50"/>
  <c r="S49"/>
  <c r="S47"/>
  <c r="S46"/>
  <c r="S44"/>
  <c r="S43"/>
  <c r="S42"/>
  <c r="S41"/>
  <c r="S40"/>
  <c r="S45" i="17" s="1"/>
  <c r="S169" s="1"/>
  <c r="S39" i="12"/>
  <c r="S38"/>
  <c r="S37"/>
  <c r="S36"/>
  <c r="S35"/>
  <c r="S34"/>
  <c r="S33"/>
  <c r="S32"/>
  <c r="S156" s="1"/>
  <c r="S31"/>
  <c r="S36" i="17" s="1"/>
  <c r="S30" i="12"/>
  <c r="S29"/>
  <c r="S28"/>
  <c r="S27"/>
  <c r="S32" i="17" s="1"/>
  <c r="S158" s="1"/>
  <c r="S26" i="12"/>
  <c r="S25"/>
  <c r="S24"/>
  <c r="S23"/>
  <c r="S22"/>
  <c r="S21"/>
  <c r="S20"/>
  <c r="S25" i="17" s="1"/>
  <c r="S19" i="12"/>
  <c r="T239" s="1"/>
  <c r="S18"/>
  <c r="S17"/>
  <c r="S16"/>
  <c r="S171" s="1"/>
  <c r="S15"/>
  <c r="S20" i="17" s="1"/>
  <c r="S14" i="12"/>
  <c r="S13"/>
  <c r="S12"/>
  <c r="S17" i="17" s="1"/>
  <c r="S11" i="12"/>
  <c r="S16" i="17" s="1"/>
  <c r="S10" i="12"/>
  <c r="S9"/>
  <c r="S8"/>
  <c r="S13" i="17" s="1"/>
  <c r="S7" i="12"/>
  <c r="S6"/>
  <c r="S5"/>
  <c r="R99"/>
  <c r="R104" i="17" s="1"/>
  <c r="R98" i="12"/>
  <c r="R103" i="17" s="1"/>
  <c r="R97" i="12"/>
  <c r="R96"/>
  <c r="R95"/>
  <c r="R94"/>
  <c r="R93"/>
  <c r="R91"/>
  <c r="R90"/>
  <c r="R95" i="17" s="1"/>
  <c r="R89" i="12"/>
  <c r="R88"/>
  <c r="R87"/>
  <c r="R86"/>
  <c r="R91" i="17" s="1"/>
  <c r="R85" i="12"/>
  <c r="S119" s="1"/>
  <c r="R83"/>
  <c r="R82"/>
  <c r="R81"/>
  <c r="R80"/>
  <c r="R79"/>
  <c r="R78"/>
  <c r="R77"/>
  <c r="R82" i="17" s="1"/>
  <c r="R76" i="12"/>
  <c r="R75"/>
  <c r="R74"/>
  <c r="R73"/>
  <c r="R72"/>
  <c r="R70"/>
  <c r="R69"/>
  <c r="R68"/>
  <c r="R73" i="17" s="1"/>
  <c r="R67" i="12"/>
  <c r="R72" i="17" s="1"/>
  <c r="S253" s="1"/>
  <c r="R66" i="12"/>
  <c r="R65"/>
  <c r="R64"/>
  <c r="R63"/>
  <c r="R61"/>
  <c r="R60"/>
  <c r="R57"/>
  <c r="R59" s="1"/>
  <c r="R56"/>
  <c r="R58" s="1"/>
  <c r="R54"/>
  <c r="R53"/>
  <c r="R52"/>
  <c r="R51"/>
  <c r="R50"/>
  <c r="R49"/>
  <c r="R47"/>
  <c r="R46"/>
  <c r="R44"/>
  <c r="R43"/>
  <c r="R42"/>
  <c r="R41"/>
  <c r="R164" s="1"/>
  <c r="R40"/>
  <c r="R39"/>
  <c r="R38"/>
  <c r="R43" i="17" s="1"/>
  <c r="R39" s="1"/>
  <c r="R37" i="12"/>
  <c r="R42" i="17" s="1"/>
  <c r="R36" i="12"/>
  <c r="R35"/>
  <c r="R34"/>
  <c r="R33"/>
  <c r="R32"/>
  <c r="R31"/>
  <c r="R30"/>
  <c r="R29"/>
  <c r="R28"/>
  <c r="R27"/>
  <c r="R26"/>
  <c r="R25"/>
  <c r="R24"/>
  <c r="R23"/>
  <c r="R22"/>
  <c r="R21"/>
  <c r="S240" s="1"/>
  <c r="R20"/>
  <c r="R25" i="17" s="1"/>
  <c r="R19" i="12"/>
  <c r="R18"/>
  <c r="R17"/>
  <c r="R16"/>
  <c r="R15"/>
  <c r="R14"/>
  <c r="R13"/>
  <c r="R217" s="1"/>
  <c r="R12"/>
  <c r="R17" i="17" s="1"/>
  <c r="R11" i="12"/>
  <c r="R16" i="17" s="1"/>
  <c r="R10" i="12"/>
  <c r="R15" i="17" s="1"/>
  <c r="R9" i="12"/>
  <c r="R14" i="17" s="1"/>
  <c r="R8" i="12"/>
  <c r="R13" i="17" s="1"/>
  <c r="R7" i="12"/>
  <c r="R12" i="17" s="1"/>
  <c r="R6" i="12"/>
  <c r="R216" s="1"/>
  <c r="R5"/>
  <c r="R180" s="1"/>
  <c r="Q99"/>
  <c r="Q104" i="17" s="1"/>
  <c r="Q98" i="12"/>
  <c r="Q97"/>
  <c r="Q96"/>
  <c r="Q101" i="17" s="1"/>
  <c r="Q95" i="12"/>
  <c r="Q100" i="17" s="1"/>
  <c r="Q94" i="12"/>
  <c r="Q93"/>
  <c r="Q98" i="17" s="1"/>
  <c r="Q91" i="12"/>
  <c r="Q96" i="17" s="1"/>
  <c r="Q90" i="12"/>
  <c r="Q95" i="17" s="1"/>
  <c r="Q89" i="12"/>
  <c r="Q94" i="17" s="1"/>
  <c r="Q88" i="12"/>
  <c r="Q93" i="17" s="1"/>
  <c r="Q87" i="12"/>
  <c r="Q92" i="17" s="1"/>
  <c r="Q120" s="1"/>
  <c r="Q86" i="12"/>
  <c r="Q91" i="17" s="1"/>
  <c r="Q85" i="12"/>
  <c r="Q83"/>
  <c r="Q88" i="17" s="1"/>
  <c r="Q82" i="12"/>
  <c r="Q87" i="17" s="1"/>
  <c r="Q81" i="12"/>
  <c r="Q80"/>
  <c r="Q85" i="17" s="1"/>
  <c r="Q79" i="12"/>
  <c r="Q84" i="17" s="1"/>
  <c r="Q78" i="12"/>
  <c r="R237" s="1"/>
  <c r="Q77"/>
  <c r="Q82" i="17" s="1"/>
  <c r="Q76" i="12"/>
  <c r="Q81" i="17" s="1"/>
  <c r="Q75" i="12"/>
  <c r="Q215" s="1"/>
  <c r="Q74"/>
  <c r="Q79" i="17" s="1"/>
  <c r="Q73" i="12"/>
  <c r="Q78" i="17" s="1"/>
  <c r="Q72" i="12"/>
  <c r="Q77" i="17" s="1"/>
  <c r="Q70" i="12"/>
  <c r="Q75" i="17" s="1"/>
  <c r="Q69" i="12"/>
  <c r="Q74" i="17" s="1"/>
  <c r="Q68" i="12"/>
  <c r="Q67"/>
  <c r="Q72" i="17" s="1"/>
  <c r="R253" s="1"/>
  <c r="Q66" i="12"/>
  <c r="Q65"/>
  <c r="Q64"/>
  <c r="Q69" i="17" s="1"/>
  <c r="Q63" i="12"/>
  <c r="Q224" s="1"/>
  <c r="Q61"/>
  <c r="Q66" i="17" s="1"/>
  <c r="Q60" i="12"/>
  <c r="Q65" i="17" s="1"/>
  <c r="Q57" i="12"/>
  <c r="Q56"/>
  <c r="Q54"/>
  <c r="Q59" s="1"/>
  <c r="Q53"/>
  <c r="Q58" i="17" s="1"/>
  <c r="Q52" i="12"/>
  <c r="Q51"/>
  <c r="Q50"/>
  <c r="Q49"/>
  <c r="Q47"/>
  <c r="Q46"/>
  <c r="Q44"/>
  <c r="Q49" i="17" s="1"/>
  <c r="Q43" i="12"/>
  <c r="Q42"/>
  <c r="Q41"/>
  <c r="Q46" i="17" s="1"/>
  <c r="Q40" i="12"/>
  <c r="Q45" i="17" s="1"/>
  <c r="Q39" i="12"/>
  <c r="Q38"/>
  <c r="Q43" i="17" s="1"/>
  <c r="Q37" i="12"/>
  <c r="Q36"/>
  <c r="Q157" s="1"/>
  <c r="Q35"/>
  <c r="Q160" s="1"/>
  <c r="Q34"/>
  <c r="Q33"/>
  <c r="Q38" i="17" s="1"/>
  <c r="Q32" i="12"/>
  <c r="Q31"/>
  <c r="Q30"/>
  <c r="Q29"/>
  <c r="Q28"/>
  <c r="Q33" i="17" s="1"/>
  <c r="Q27" i="12"/>
  <c r="Q32" i="17" s="1"/>
  <c r="Q26" i="12"/>
  <c r="Q25"/>
  <c r="Q24"/>
  <c r="Q120" s="1"/>
  <c r="Q23"/>
  <c r="Q28" i="17" s="1"/>
  <c r="Q22" i="12"/>
  <c r="Q21"/>
  <c r="Q20"/>
  <c r="Q139" s="1"/>
  <c r="Q19"/>
  <c r="Q18"/>
  <c r="Q17"/>
  <c r="Q16"/>
  <c r="Q220" s="1"/>
  <c r="R207" s="1"/>
  <c r="Q15"/>
  <c r="Q20" i="17" s="1"/>
  <c r="Q14" i="12"/>
  <c r="Q19" i="17" s="1"/>
  <c r="Q13" i="12"/>
  <c r="Q12"/>
  <c r="Q11"/>
  <c r="Q16" i="17" s="1"/>
  <c r="Q10" i="12"/>
  <c r="Q15" i="17" s="1"/>
  <c r="Q9" i="12"/>
  <c r="Q8"/>
  <c r="Q13" i="17" s="1"/>
  <c r="Q7" i="12"/>
  <c r="Q12" i="17" s="1"/>
  <c r="Q6" i="12"/>
  <c r="Q11" i="17" s="1"/>
  <c r="Q5" i="12"/>
  <c r="P99"/>
  <c r="P104" i="17" s="1"/>
  <c r="P98" i="12"/>
  <c r="P103" i="17" s="1"/>
  <c r="P97" i="12"/>
  <c r="P102" i="17" s="1"/>
  <c r="P96" i="12"/>
  <c r="P95"/>
  <c r="P100" i="17" s="1"/>
  <c r="P94" i="12"/>
  <c r="P99" i="17" s="1"/>
  <c r="Q123" s="1"/>
  <c r="P93" i="12"/>
  <c r="P91"/>
  <c r="P90"/>
  <c r="P89"/>
  <c r="P94" i="17" s="1"/>
  <c r="P88" i="12"/>
  <c r="P93" i="17" s="1"/>
  <c r="P87" i="12"/>
  <c r="P86"/>
  <c r="P91" i="17" s="1"/>
  <c r="P85" i="12"/>
  <c r="P83"/>
  <c r="P82"/>
  <c r="P87" i="17" s="1"/>
  <c r="P81" i="12"/>
  <c r="P80"/>
  <c r="P85" i="17" s="1"/>
  <c r="P79" i="12"/>
  <c r="P84" i="17" s="1"/>
  <c r="P78" i="12"/>
  <c r="P77"/>
  <c r="P82" i="17" s="1"/>
  <c r="P76" i="12"/>
  <c r="P81" i="17" s="1"/>
  <c r="P75" i="12"/>
  <c r="P80" i="17" s="1"/>
  <c r="P74" i="12"/>
  <c r="P79" i="17" s="1"/>
  <c r="P73" i="12"/>
  <c r="P78" i="17" s="1"/>
  <c r="P72" i="12"/>
  <c r="P70"/>
  <c r="P69"/>
  <c r="P74" i="17" s="1"/>
  <c r="P68" i="12"/>
  <c r="P73" i="17" s="1"/>
  <c r="P67" i="12"/>
  <c r="P66"/>
  <c r="P65"/>
  <c r="P64"/>
  <c r="P69" i="17" s="1"/>
  <c r="P63" i="12"/>
  <c r="K10" i="19" s="1"/>
  <c r="P61" i="12"/>
  <c r="P66" i="17" s="1"/>
  <c r="P60" i="12"/>
  <c r="P57"/>
  <c r="P56"/>
  <c r="P58" s="1"/>
  <c r="P54"/>
  <c r="P53"/>
  <c r="P58" i="17" s="1"/>
  <c r="P52" i="12"/>
  <c r="P51"/>
  <c r="P50"/>
  <c r="P49"/>
  <c r="P47"/>
  <c r="P46"/>
  <c r="P44"/>
  <c r="P49" i="17" s="1"/>
  <c r="P43" i="12"/>
  <c r="P42"/>
  <c r="P41"/>
  <c r="P46" i="17" s="1"/>
  <c r="P40" i="12"/>
  <c r="P39"/>
  <c r="P38"/>
  <c r="P43" i="17" s="1"/>
  <c r="P37" i="12"/>
  <c r="P36"/>
  <c r="P41" i="17" s="1"/>
  <c r="P35" i="12"/>
  <c r="P34"/>
  <c r="P33"/>
  <c r="P38" i="17" s="1"/>
  <c r="P32" i="12"/>
  <c r="P37" i="17" s="1"/>
  <c r="P31" i="12"/>
  <c r="P36" i="17" s="1"/>
  <c r="P30" i="12"/>
  <c r="P29"/>
  <c r="P34" i="17" s="1"/>
  <c r="P28" i="12"/>
  <c r="P27"/>
  <c r="P32" i="17" s="1"/>
  <c r="P26" i="12"/>
  <c r="P31" i="17" s="1"/>
  <c r="P25" i="12"/>
  <c r="P24"/>
  <c r="P23"/>
  <c r="P22"/>
  <c r="P27" i="17" s="1"/>
  <c r="P21" i="12"/>
  <c r="P20"/>
  <c r="P25" i="17" s="1"/>
  <c r="P19" i="12"/>
  <c r="P24" i="17" s="1"/>
  <c r="Q244" s="1"/>
  <c r="P18" i="12"/>
  <c r="P17"/>
  <c r="P147" s="1"/>
  <c r="P16"/>
  <c r="P15"/>
  <c r="P14"/>
  <c r="P19" i="17" s="1"/>
  <c r="P13" i="12"/>
  <c r="P128" s="1"/>
  <c r="P12"/>
  <c r="P11"/>
  <c r="P16" i="17" s="1"/>
  <c r="P10" i="12"/>
  <c r="P15" i="17" s="1"/>
  <c r="P9" i="12"/>
  <c r="P8"/>
  <c r="P13" i="17" s="1"/>
  <c r="P7" i="12"/>
  <c r="P12" i="17" s="1"/>
  <c r="P6" i="12"/>
  <c r="P216" s="1"/>
  <c r="P5"/>
  <c r="P214" s="1"/>
  <c r="O99"/>
  <c r="O104" i="17" s="1"/>
  <c r="O98" i="12"/>
  <c r="O97"/>
  <c r="O102" i="17" s="1"/>
  <c r="O96" i="12"/>
  <c r="O95"/>
  <c r="O100" i="17" s="1"/>
  <c r="O94" i="12"/>
  <c r="O99" i="17" s="1"/>
  <c r="P123" s="1"/>
  <c r="O93" i="12"/>
  <c r="O91"/>
  <c r="O90"/>
  <c r="O89"/>
  <c r="O94" i="17" s="1"/>
  <c r="O88" i="12"/>
  <c r="O93" i="17" s="1"/>
  <c r="O87" i="12"/>
  <c r="O92" i="17" s="1"/>
  <c r="O120" s="1"/>
  <c r="O86" i="12"/>
  <c r="O85"/>
  <c r="O83"/>
  <c r="O137" s="1"/>
  <c r="O82"/>
  <c r="O87" i="17" s="1"/>
  <c r="O81" i="12"/>
  <c r="P243" s="1"/>
  <c r="O80"/>
  <c r="O79"/>
  <c r="O84" i="17" s="1"/>
  <c r="O78" i="12"/>
  <c r="P237" s="1"/>
  <c r="O77"/>
  <c r="O76"/>
  <c r="O81" i="17" s="1"/>
  <c r="O75" i="12"/>
  <c r="P233" s="1"/>
  <c r="O74"/>
  <c r="O79" i="17" s="1"/>
  <c r="O73" i="12"/>
  <c r="O78" i="17" s="1"/>
  <c r="O72" i="12"/>
  <c r="O70"/>
  <c r="O75" i="17" s="1"/>
  <c r="O69" i="12"/>
  <c r="O74" i="17" s="1"/>
  <c r="O68" i="12"/>
  <c r="O73" i="17" s="1"/>
  <c r="O67" i="12"/>
  <c r="O72" i="17" s="1"/>
  <c r="P253" s="1"/>
  <c r="O66" i="12"/>
  <c r="P247" s="1"/>
  <c r="O65"/>
  <c r="O64"/>
  <c r="O63"/>
  <c r="O224" s="1"/>
  <c r="O61"/>
  <c r="O129" s="1"/>
  <c r="O60"/>
  <c r="O65" i="17" s="1"/>
  <c r="O57" i="12"/>
  <c r="O56"/>
  <c r="O54"/>
  <c r="O53"/>
  <c r="O58" i="17" s="1"/>
  <c r="O52" i="12"/>
  <c r="O51"/>
  <c r="O50"/>
  <c r="O49"/>
  <c r="O47"/>
  <c r="O46"/>
  <c r="O44"/>
  <c r="O49" i="17" s="1"/>
  <c r="O43" i="12"/>
  <c r="O42"/>
  <c r="O41"/>
  <c r="O40"/>
  <c r="O39"/>
  <c r="O162" s="1"/>
  <c r="O38"/>
  <c r="O43" i="17" s="1"/>
  <c r="O37" i="12"/>
  <c r="O36"/>
  <c r="O41" i="17" s="1"/>
  <c r="O35" i="12"/>
  <c r="O40" i="17" s="1"/>
  <c r="O34" i="12"/>
  <c r="O33"/>
  <c r="O38" i="17" s="1"/>
  <c r="O32" i="12"/>
  <c r="O37" i="17" s="1"/>
  <c r="O31" i="12"/>
  <c r="O30"/>
  <c r="O35" i="17" s="1"/>
  <c r="O29" i="12"/>
  <c r="O34" i="17" s="1"/>
  <c r="O28" i="12"/>
  <c r="O33" i="17" s="1"/>
  <c r="O27" i="12"/>
  <c r="O32" i="17" s="1"/>
  <c r="O26" i="12"/>
  <c r="O25"/>
  <c r="O24"/>
  <c r="O120" s="1"/>
  <c r="O23"/>
  <c r="O28" i="17" s="1"/>
  <c r="O22" i="12"/>
  <c r="O21"/>
  <c r="O20"/>
  <c r="O139" s="1"/>
  <c r="O19"/>
  <c r="O24" i="17" s="1"/>
  <c r="P244" s="1"/>
  <c r="O18" i="12"/>
  <c r="O23" i="17" s="1"/>
  <c r="O17" i="12"/>
  <c r="O16"/>
  <c r="O220" s="1"/>
  <c r="O15"/>
  <c r="O20" i="17" s="1"/>
  <c r="O14" i="12"/>
  <c r="O19" i="17" s="1"/>
  <c r="O13" i="12"/>
  <c r="O18" i="17" s="1"/>
  <c r="O12" i="12"/>
  <c r="O11"/>
  <c r="O16" i="17" s="1"/>
  <c r="O10" i="12"/>
  <c r="O9"/>
  <c r="O8"/>
  <c r="O13" i="17" s="1"/>
  <c r="O7" i="12"/>
  <c r="O12" i="17" s="1"/>
  <c r="O6" i="12"/>
  <c r="O5"/>
  <c r="O214" s="1"/>
  <c r="N99"/>
  <c r="N104" i="17" s="1"/>
  <c r="N98" i="12"/>
  <c r="N103" i="17" s="1"/>
  <c r="N97" i="12"/>
  <c r="N102" i="17" s="1"/>
  <c r="N96" i="12"/>
  <c r="N101" i="17" s="1"/>
  <c r="N95" i="12"/>
  <c r="N100" i="17" s="1"/>
  <c r="N94" i="12"/>
  <c r="N99" i="17" s="1"/>
  <c r="O123" s="1"/>
  <c r="N93" i="12"/>
  <c r="N98" i="17" s="1"/>
  <c r="N91" i="12"/>
  <c r="N96" i="17" s="1"/>
  <c r="N90" i="12"/>
  <c r="N95" i="17" s="1"/>
  <c r="N89" i="12"/>
  <c r="N88"/>
  <c r="N87"/>
  <c r="N115" s="1"/>
  <c r="N86"/>
  <c r="N85"/>
  <c r="N83"/>
  <c r="N88" i="17" s="1"/>
  <c r="N82" i="12"/>
  <c r="N81"/>
  <c r="N80"/>
  <c r="N85" i="17" s="1"/>
  <c r="N79" i="12"/>
  <c r="N84" i="17" s="1"/>
  <c r="N78" i="12"/>
  <c r="N77"/>
  <c r="N82" i="17" s="1"/>
  <c r="N76" i="12"/>
  <c r="N75"/>
  <c r="N80" i="17" s="1"/>
  <c r="N74" i="12"/>
  <c r="N79" i="17" s="1"/>
  <c r="N73" i="12"/>
  <c r="N72"/>
  <c r="N70"/>
  <c r="N75" i="17" s="1"/>
  <c r="N69" i="12"/>
  <c r="N74" i="17" s="1"/>
  <c r="N68" i="12"/>
  <c r="N73" i="17" s="1"/>
  <c r="N67" i="12"/>
  <c r="N66"/>
  <c r="N71" i="17" s="1"/>
  <c r="N65" i="12"/>
  <c r="N64"/>
  <c r="N69" i="17" s="1"/>
  <c r="N63" i="12"/>
  <c r="N68" i="17" s="1"/>
  <c r="N61" i="12"/>
  <c r="N60"/>
  <c r="N57"/>
  <c r="N59" s="1"/>
  <c r="N56"/>
  <c r="N58" s="1"/>
  <c r="N54"/>
  <c r="N53"/>
  <c r="N52"/>
  <c r="N51"/>
  <c r="N50"/>
  <c r="N49"/>
  <c r="N47"/>
  <c r="N46"/>
  <c r="N44"/>
  <c r="N43"/>
  <c r="N42"/>
  <c r="N41"/>
  <c r="N40"/>
  <c r="N39"/>
  <c r="N38"/>
  <c r="N43" i="17" s="1"/>
  <c r="N37" i="12"/>
  <c r="N42" i="17" s="1"/>
  <c r="N163" s="1"/>
  <c r="N36" i="12"/>
  <c r="N35"/>
  <c r="N34"/>
  <c r="N33"/>
  <c r="N38" i="17" s="1"/>
  <c r="N32" i="12"/>
  <c r="N31"/>
  <c r="N30"/>
  <c r="N155" s="1"/>
  <c r="N29"/>
  <c r="N28"/>
  <c r="N27"/>
  <c r="N26"/>
  <c r="N31" i="17" s="1"/>
  <c r="N25" i="12"/>
  <c r="N24"/>
  <c r="N23"/>
  <c r="N22"/>
  <c r="N27" i="17" s="1"/>
  <c r="N21" i="12"/>
  <c r="N20"/>
  <c r="N19"/>
  <c r="N18"/>
  <c r="N17"/>
  <c r="N170" s="1"/>
  <c r="N16"/>
  <c r="N15"/>
  <c r="N14"/>
  <c r="N19" i="17" s="1"/>
  <c r="N237" s="1"/>
  <c r="N13" i="12"/>
  <c r="N12"/>
  <c r="N11"/>
  <c r="N10"/>
  <c r="N15" i="17" s="1"/>
  <c r="N9" i="12"/>
  <c r="N8"/>
  <c r="N7"/>
  <c r="N6"/>
  <c r="N5"/>
  <c r="M99"/>
  <c r="M98"/>
  <c r="M97"/>
  <c r="M102" i="17" s="1"/>
  <c r="M96" i="12"/>
  <c r="M95"/>
  <c r="M94"/>
  <c r="M93"/>
  <c r="M98" i="17" s="1"/>
  <c r="M91" i="12"/>
  <c r="M148" s="1"/>
  <c r="M90"/>
  <c r="M89"/>
  <c r="M88"/>
  <c r="M87"/>
  <c r="M115" s="1"/>
  <c r="M86"/>
  <c r="M85"/>
  <c r="M83"/>
  <c r="M137" s="1"/>
  <c r="M82"/>
  <c r="M81"/>
  <c r="M80"/>
  <c r="M79"/>
  <c r="M84" i="17" s="1"/>
  <c r="M78" i="12"/>
  <c r="M77"/>
  <c r="M76"/>
  <c r="M75"/>
  <c r="N233" s="1"/>
  <c r="M74"/>
  <c r="M73"/>
  <c r="M72"/>
  <c r="M70"/>
  <c r="M75" i="17" s="1"/>
  <c r="M69" i="12"/>
  <c r="M74" i="17" s="1"/>
  <c r="M68" i="12"/>
  <c r="M67"/>
  <c r="M72" i="17" s="1"/>
  <c r="M66" i="12"/>
  <c r="N247" s="1"/>
  <c r="M65"/>
  <c r="M64"/>
  <c r="M63"/>
  <c r="H10" i="19" s="1"/>
  <c r="M61" i="12"/>
  <c r="M66" i="17" s="1"/>
  <c r="M60" i="12"/>
  <c r="M65" i="17" s="1"/>
  <c r="M57" i="12"/>
  <c r="M56"/>
  <c r="M54"/>
  <c r="M53"/>
  <c r="M58" i="17" s="1"/>
  <c r="M52" i="12"/>
  <c r="M51"/>
  <c r="M50"/>
  <c r="M49"/>
  <c r="M47"/>
  <c r="M46"/>
  <c r="M44"/>
  <c r="M165" s="1"/>
  <c r="M43"/>
  <c r="M42"/>
  <c r="M41"/>
  <c r="M40"/>
  <c r="M39"/>
  <c r="M38"/>
  <c r="M37"/>
  <c r="M36"/>
  <c r="M41" i="17" s="1"/>
  <c r="M35" i="12"/>
  <c r="M40" i="17" s="1"/>
  <c r="M165" s="1"/>
  <c r="M34" i="12"/>
  <c r="M33"/>
  <c r="M38" i="17" s="1"/>
  <c r="M32" i="12"/>
  <c r="M37" i="17" s="1"/>
  <c r="M31" i="12"/>
  <c r="M30"/>
  <c r="M29"/>
  <c r="M28"/>
  <c r="M27"/>
  <c r="M32" i="17" s="1"/>
  <c r="M26" i="12"/>
  <c r="M25"/>
  <c r="M24"/>
  <c r="M120" s="1"/>
  <c r="M23"/>
  <c r="M22"/>
  <c r="M21"/>
  <c r="M20"/>
  <c r="M25" i="17" s="1"/>
  <c r="M19" i="12"/>
  <c r="M18"/>
  <c r="M17"/>
  <c r="M16"/>
  <c r="M15"/>
  <c r="M14"/>
  <c r="M13"/>
  <c r="M12"/>
  <c r="M11"/>
  <c r="M16" i="17" s="1"/>
  <c r="M10" i="12"/>
  <c r="M9"/>
  <c r="M8"/>
  <c r="M13" i="17" s="1"/>
  <c r="M7" i="12"/>
  <c r="M6"/>
  <c r="M5"/>
  <c r="L99"/>
  <c r="L104" i="17" s="1"/>
  <c r="L98" i="12"/>
  <c r="L103" i="17" s="1"/>
  <c r="L97" i="12"/>
  <c r="L102" i="17" s="1"/>
  <c r="L96" i="12"/>
  <c r="L95"/>
  <c r="L94"/>
  <c r="L93"/>
  <c r="L98" i="17" s="1"/>
  <c r="L91" i="12"/>
  <c r="L96" i="17" s="1"/>
  <c r="L90" i="12"/>
  <c r="L95" i="17" s="1"/>
  <c r="L89" i="12"/>
  <c r="L94" i="17" s="1"/>
  <c r="L88" i="12"/>
  <c r="L87"/>
  <c r="L92" i="17" s="1"/>
  <c r="L86" i="12"/>
  <c r="L91" i="17" s="1"/>
  <c r="L85" i="12"/>
  <c r="L83"/>
  <c r="L82"/>
  <c r="L87" i="17" s="1"/>
  <c r="L81" i="12"/>
  <c r="L80"/>
  <c r="L85" i="17" s="1"/>
  <c r="L79" i="12"/>
  <c r="L78"/>
  <c r="L77"/>
  <c r="L82" i="17" s="1"/>
  <c r="L76" i="12"/>
  <c r="L81" i="17" s="1"/>
  <c r="L75" i="12"/>
  <c r="L74"/>
  <c r="L73"/>
  <c r="L72"/>
  <c r="L130" s="1"/>
  <c r="L70"/>
  <c r="L69"/>
  <c r="L68"/>
  <c r="L73" i="17" s="1"/>
  <c r="L67" i="12"/>
  <c r="L66"/>
  <c r="L65"/>
  <c r="L64"/>
  <c r="M246" s="1"/>
  <c r="L63"/>
  <c r="L61"/>
  <c r="L60"/>
  <c r="L57"/>
  <c r="L59" s="1"/>
  <c r="L56"/>
  <c r="L58" s="1"/>
  <c r="L54"/>
  <c r="L53"/>
  <c r="L52"/>
  <c r="L51"/>
  <c r="L50"/>
  <c r="L49"/>
  <c r="L47"/>
  <c r="L46"/>
  <c r="L44"/>
  <c r="L43"/>
  <c r="L42"/>
  <c r="L41"/>
  <c r="L40"/>
  <c r="L39"/>
  <c r="L38"/>
  <c r="L43" i="17" s="1"/>
  <c r="L37" i="12"/>
  <c r="L42" i="17" s="1"/>
  <c r="L163" s="1"/>
  <c r="L36" i="12"/>
  <c r="L35"/>
  <c r="L34"/>
  <c r="L33"/>
  <c r="L32"/>
  <c r="L31"/>
  <c r="L30"/>
  <c r="L29"/>
  <c r="L121" s="1"/>
  <c r="L28"/>
  <c r="L27"/>
  <c r="L26"/>
  <c r="L153" s="1"/>
  <c r="L25"/>
  <c r="L24"/>
  <c r="L23"/>
  <c r="L22"/>
  <c r="M241" s="1"/>
  <c r="L21"/>
  <c r="L20"/>
  <c r="L19"/>
  <c r="L18"/>
  <c r="L17"/>
  <c r="L145" s="1"/>
  <c r="L16"/>
  <c r="L15"/>
  <c r="L14"/>
  <c r="M232" s="1"/>
  <c r="L13"/>
  <c r="L12"/>
  <c r="L17" i="17" s="1"/>
  <c r="L11" i="12"/>
  <c r="L10"/>
  <c r="L15" i="17" s="1"/>
  <c r="L9" i="12"/>
  <c r="L14" i="17" s="1"/>
  <c r="L8" i="12"/>
  <c r="L7"/>
  <c r="L6"/>
  <c r="L5"/>
  <c r="L183" s="1"/>
  <c r="K99"/>
  <c r="K98"/>
  <c r="K97"/>
  <c r="K102" i="17" s="1"/>
  <c r="K96" i="12"/>
  <c r="K140" s="1"/>
  <c r="K95"/>
  <c r="K94"/>
  <c r="K93"/>
  <c r="K160" s="1"/>
  <c r="K91"/>
  <c r="K96" i="17" s="1"/>
  <c r="K90" i="12"/>
  <c r="K89"/>
  <c r="K88"/>
  <c r="K87"/>
  <c r="K86"/>
  <c r="K85"/>
  <c r="K83"/>
  <c r="K82"/>
  <c r="K81"/>
  <c r="K80"/>
  <c r="K79"/>
  <c r="K84" i="17" s="1"/>
  <c r="K78" i="12"/>
  <c r="K134" s="1"/>
  <c r="K77"/>
  <c r="K76"/>
  <c r="K75"/>
  <c r="K128" s="1"/>
  <c r="K74"/>
  <c r="K73"/>
  <c r="K72"/>
  <c r="K70"/>
  <c r="K75" i="17" s="1"/>
  <c r="K69" i="12"/>
  <c r="K74" i="17" s="1"/>
  <c r="K68" i="12"/>
  <c r="K67"/>
  <c r="K66"/>
  <c r="K65"/>
  <c r="K64"/>
  <c r="K63"/>
  <c r="K61"/>
  <c r="K66" i="17" s="1"/>
  <c r="K60" i="12"/>
  <c r="K57"/>
  <c r="K56"/>
  <c r="K54"/>
  <c r="K53"/>
  <c r="K58" i="17" s="1"/>
  <c r="K52" i="12"/>
  <c r="K51"/>
  <c r="K50"/>
  <c r="K49"/>
  <c r="K47"/>
  <c r="K46"/>
  <c r="K44"/>
  <c r="K49" i="17" s="1"/>
  <c r="K43" i="12"/>
  <c r="K42"/>
  <c r="K41"/>
  <c r="K46" i="17" s="1"/>
  <c r="K40" i="12"/>
  <c r="K45" i="17" s="1"/>
  <c r="K39" i="12"/>
  <c r="K38"/>
  <c r="K43" i="17" s="1"/>
  <c r="K37" i="12"/>
  <c r="K42" i="17" s="1"/>
  <c r="K36" i="12"/>
  <c r="K35"/>
  <c r="K34"/>
  <c r="K33"/>
  <c r="K32"/>
  <c r="K37" i="17" s="1"/>
  <c r="K31" i="12"/>
  <c r="K36" i="17" s="1"/>
  <c r="K30" i="12"/>
  <c r="K29"/>
  <c r="K28"/>
  <c r="K27"/>
  <c r="K32" i="17" s="1"/>
  <c r="K26" i="12"/>
  <c r="K25"/>
  <c r="K24"/>
  <c r="K120" s="1"/>
  <c r="K23"/>
  <c r="K22"/>
  <c r="K21"/>
  <c r="K20"/>
  <c r="K25" i="17" s="1"/>
  <c r="K19" i="12"/>
  <c r="K24" i="17" s="1"/>
  <c r="L244" s="1"/>
  <c r="K18" i="12"/>
  <c r="K17"/>
  <c r="K22" i="17" s="1"/>
  <c r="K16" i="12"/>
  <c r="K221" s="1"/>
  <c r="K15"/>
  <c r="K14"/>
  <c r="K126" s="1"/>
  <c r="K13"/>
  <c r="K12"/>
  <c r="K17" i="17" s="1"/>
  <c r="K11" i="12"/>
  <c r="K16" i="17" s="1"/>
  <c r="K10" i="12"/>
  <c r="K15" i="17" s="1"/>
  <c r="K9" i="12"/>
  <c r="K14" i="17" s="1"/>
  <c r="K8" i="12"/>
  <c r="K13" i="17" s="1"/>
  <c r="K7" i="12"/>
  <c r="K12" i="17" s="1"/>
  <c r="K6" i="12"/>
  <c r="K5"/>
  <c r="J99"/>
  <c r="J98"/>
  <c r="J103" i="17" s="1"/>
  <c r="J97" i="12"/>
  <c r="J102" i="17" s="1"/>
  <c r="J96" i="12"/>
  <c r="J95"/>
  <c r="J100" i="17" s="1"/>
  <c r="J94" i="12"/>
  <c r="J93"/>
  <c r="J91"/>
  <c r="J96" i="17" s="1"/>
  <c r="J90" i="12"/>
  <c r="J95" i="17" s="1"/>
  <c r="J89" i="12"/>
  <c r="J94" i="17" s="1"/>
  <c r="J88" i="12"/>
  <c r="J93" i="17" s="1"/>
  <c r="J87" i="12"/>
  <c r="J92" i="17" s="1"/>
  <c r="J86" i="12"/>
  <c r="J85"/>
  <c r="J138" s="1"/>
  <c r="J83"/>
  <c r="J88" i="17" s="1"/>
  <c r="J82" i="12"/>
  <c r="J87" i="17" s="1"/>
  <c r="J81" i="12"/>
  <c r="J80"/>
  <c r="J79"/>
  <c r="J78"/>
  <c r="J77"/>
  <c r="J82" i="17" s="1"/>
  <c r="J76" i="12"/>
  <c r="J81" i="17" s="1"/>
  <c r="J75" i="12"/>
  <c r="J74"/>
  <c r="J73"/>
  <c r="J131" s="1"/>
  <c r="J72"/>
  <c r="K230" s="1"/>
  <c r="J70"/>
  <c r="J75" i="17" s="1"/>
  <c r="J69" i="12"/>
  <c r="J68"/>
  <c r="J73" i="17" s="1"/>
  <c r="J67" i="12"/>
  <c r="J66"/>
  <c r="J65"/>
  <c r="J64"/>
  <c r="K246" s="1"/>
  <c r="J63"/>
  <c r="J61"/>
  <c r="J60"/>
  <c r="J57"/>
  <c r="J59" s="1"/>
  <c r="J56"/>
  <c r="J54"/>
  <c r="J53"/>
  <c r="J52"/>
  <c r="J183" s="1"/>
  <c r="J51"/>
  <c r="J50"/>
  <c r="J49"/>
  <c r="J47"/>
  <c r="J46"/>
  <c r="J44"/>
  <c r="J43"/>
  <c r="J42"/>
  <c r="J41"/>
  <c r="J40"/>
  <c r="J39"/>
  <c r="J38"/>
  <c r="J43" i="17" s="1"/>
  <c r="J37" i="12"/>
  <c r="J36"/>
  <c r="J35"/>
  <c r="J34"/>
  <c r="J33"/>
  <c r="J156" s="1"/>
  <c r="J32"/>
  <c r="J31"/>
  <c r="J30"/>
  <c r="J29"/>
  <c r="J28"/>
  <c r="J27"/>
  <c r="J26"/>
  <c r="J25"/>
  <c r="J24"/>
  <c r="J23"/>
  <c r="J22"/>
  <c r="K241" s="1"/>
  <c r="J21"/>
  <c r="J143" s="1"/>
  <c r="J20"/>
  <c r="J19"/>
  <c r="J18"/>
  <c r="K238" s="1"/>
  <c r="J17"/>
  <c r="J16"/>
  <c r="J15"/>
  <c r="J14"/>
  <c r="J13"/>
  <c r="J12"/>
  <c r="J11"/>
  <c r="J10"/>
  <c r="J15" i="17" s="1"/>
  <c r="J9" i="12"/>
  <c r="J8"/>
  <c r="J7"/>
  <c r="J6"/>
  <c r="J169" s="1"/>
  <c r="J5"/>
  <c r="J180" s="1"/>
  <c r="I99"/>
  <c r="I98"/>
  <c r="I103" i="17" s="1"/>
  <c r="I97" i="12"/>
  <c r="I102" i="17" s="1"/>
  <c r="I96" i="12"/>
  <c r="I101" i="17" s="1"/>
  <c r="I95" i="12"/>
  <c r="I100" i="17" s="1"/>
  <c r="I94" i="12"/>
  <c r="I93"/>
  <c r="I98" i="17" s="1"/>
  <c r="I91" i="12"/>
  <c r="I148" s="1"/>
  <c r="I90"/>
  <c r="I89"/>
  <c r="I88"/>
  <c r="I87"/>
  <c r="I92" i="17" s="1"/>
  <c r="I86" i="12"/>
  <c r="I85"/>
  <c r="I83"/>
  <c r="I88" i="17" s="1"/>
  <c r="I82" i="12"/>
  <c r="I87" i="17" s="1"/>
  <c r="I81" i="12"/>
  <c r="I80"/>
  <c r="I85" i="17" s="1"/>
  <c r="I79" i="12"/>
  <c r="I84" i="17" s="1"/>
  <c r="I78" i="12"/>
  <c r="I77"/>
  <c r="I82" i="17" s="1"/>
  <c r="I76" i="12"/>
  <c r="I75"/>
  <c r="I74"/>
  <c r="I79" i="17" s="1"/>
  <c r="I73" i="12"/>
  <c r="I78" i="17" s="1"/>
  <c r="I72" i="12"/>
  <c r="I77" i="17" s="1"/>
  <c r="I70" i="12"/>
  <c r="I75" i="17" s="1"/>
  <c r="I69" i="12"/>
  <c r="I74" i="17" s="1"/>
  <c r="I68" i="12"/>
  <c r="I73" i="17" s="1"/>
  <c r="I67" i="12"/>
  <c r="I66"/>
  <c r="I146" s="1"/>
  <c r="I65"/>
  <c r="I64"/>
  <c r="I63"/>
  <c r="H6" i="19" s="1"/>
  <c r="I61" i="12"/>
  <c r="I60"/>
  <c r="I57"/>
  <c r="I56"/>
  <c r="I54"/>
  <c r="I53"/>
  <c r="I58" i="17" s="1"/>
  <c r="I52" i="12"/>
  <c r="I51"/>
  <c r="I50"/>
  <c r="I112" s="1"/>
  <c r="I49"/>
  <c r="I111" s="1"/>
  <c r="I47"/>
  <c r="I46"/>
  <c r="I44"/>
  <c r="I49" i="17" s="1"/>
  <c r="I43" i="12"/>
  <c r="I114" s="1"/>
  <c r="I42"/>
  <c r="I41"/>
  <c r="I46" i="17" s="1"/>
  <c r="I40" i="12"/>
  <c r="I45" i="17" s="1"/>
  <c r="I39" i="12"/>
  <c r="I38"/>
  <c r="I43" i="17" s="1"/>
  <c r="I37" i="12"/>
  <c r="I42" i="17" s="1"/>
  <c r="I36" i="12"/>
  <c r="I35"/>
  <c r="I40" i="17" s="1"/>
  <c r="I34" i="12"/>
  <c r="I33"/>
  <c r="I38" i="17" s="1"/>
  <c r="I32" i="12"/>
  <c r="I37" i="17" s="1"/>
  <c r="I31" i="12"/>
  <c r="I30"/>
  <c r="I35" i="17" s="1"/>
  <c r="I29" i="12"/>
  <c r="I28"/>
  <c r="I154" s="1"/>
  <c r="I27"/>
  <c r="I32" i="17" s="1"/>
  <c r="I26" i="12"/>
  <c r="I25"/>
  <c r="I24"/>
  <c r="I121" s="1"/>
  <c r="I23"/>
  <c r="I22"/>
  <c r="I21"/>
  <c r="I26" i="17" s="1"/>
  <c r="I20" i="12"/>
  <c r="I25" i="17" s="1"/>
  <c r="I19" i="12"/>
  <c r="J239" s="1"/>
  <c r="I18"/>
  <c r="I23" i="17" s="1"/>
  <c r="I17" i="12"/>
  <c r="I22" i="17" s="1"/>
  <c r="I16" i="12"/>
  <c r="I171" s="1"/>
  <c r="I15"/>
  <c r="I20" i="17" s="1"/>
  <c r="I14" i="12"/>
  <c r="I19" i="17" s="1"/>
  <c r="I13" i="12"/>
  <c r="I12"/>
  <c r="I17" i="17" s="1"/>
  <c r="I11" i="12"/>
  <c r="I16" i="17" s="1"/>
  <c r="I10" i="12"/>
  <c r="I15" i="17" s="1"/>
  <c r="I9" i="12"/>
  <c r="I8"/>
  <c r="I13" i="17" s="1"/>
  <c r="I7" i="12"/>
  <c r="I12" i="17" s="1"/>
  <c r="I6" i="12"/>
  <c r="I5"/>
  <c r="I3"/>
  <c r="H99"/>
  <c r="H104" i="17" s="1"/>
  <c r="H98" i="12"/>
  <c r="H103" i="17" s="1"/>
  <c r="H97" i="12"/>
  <c r="H102" i="17" s="1"/>
  <c r="H96" i="12"/>
  <c r="H95"/>
  <c r="H100" i="17" s="1"/>
  <c r="H94" i="12"/>
  <c r="H93"/>
  <c r="H98" i="17" s="1"/>
  <c r="H91" i="12"/>
  <c r="H96" i="17" s="1"/>
  <c r="H90" i="12"/>
  <c r="H95" i="17" s="1"/>
  <c r="H89" i="12"/>
  <c r="H94" i="17" s="1"/>
  <c r="H88" i="12"/>
  <c r="H93" i="17" s="1"/>
  <c r="H87" i="12"/>
  <c r="H92" i="17" s="1"/>
  <c r="H86" i="12"/>
  <c r="H91" i="17" s="1"/>
  <c r="H85" i="12"/>
  <c r="H90" i="17" s="1"/>
  <c r="H83" i="12"/>
  <c r="H88" i="17" s="1"/>
  <c r="H82" i="12"/>
  <c r="H87" i="17" s="1"/>
  <c r="H81" i="12"/>
  <c r="H80"/>
  <c r="H85" i="17" s="1"/>
  <c r="H79" i="12"/>
  <c r="H78"/>
  <c r="I237" s="1"/>
  <c r="H77"/>
  <c r="H82" i="17" s="1"/>
  <c r="H76" i="12"/>
  <c r="H81" i="17" s="1"/>
  <c r="H75" i="12"/>
  <c r="H80" i="17" s="1"/>
  <c r="I238" s="1"/>
  <c r="H74" i="12"/>
  <c r="H79" i="17" s="1"/>
  <c r="H73" i="12"/>
  <c r="H78" i="17" s="1"/>
  <c r="H72" i="12"/>
  <c r="H77" i="17" s="1"/>
  <c r="I235" s="1"/>
  <c r="H70" i="12"/>
  <c r="H75" i="17" s="1"/>
  <c r="H69" i="12"/>
  <c r="H74" i="17" s="1"/>
  <c r="H68" i="12"/>
  <c r="H73" i="17" s="1"/>
  <c r="H67" i="12"/>
  <c r="I248" s="1"/>
  <c r="H66"/>
  <c r="I247" s="1"/>
  <c r="H65"/>
  <c r="H64"/>
  <c r="H69" i="17" s="1"/>
  <c r="H63" i="12"/>
  <c r="H68" i="17" s="1"/>
  <c r="H61" i="12"/>
  <c r="H66" i="17" s="1"/>
  <c r="H60" i="12"/>
  <c r="H65" i="17" s="1"/>
  <c r="H54" i="12"/>
  <c r="H53"/>
  <c r="H52"/>
  <c r="H51"/>
  <c r="H50"/>
  <c r="H49"/>
  <c r="H47"/>
  <c r="H46"/>
  <c r="H44"/>
  <c r="H49" i="17" s="1"/>
  <c r="H43" i="12"/>
  <c r="H42"/>
  <c r="H41"/>
  <c r="H46" i="17" s="1"/>
  <c r="H40" i="12"/>
  <c r="H45" i="17" s="1"/>
  <c r="H39" i="12"/>
  <c r="H38"/>
  <c r="H43" i="17" s="1"/>
  <c r="H37" i="12"/>
  <c r="H42" i="17" s="1"/>
  <c r="H36" i="12"/>
  <c r="H41" i="17" s="1"/>
  <c r="H35" i="12"/>
  <c r="H40" i="17" s="1"/>
  <c r="H34" i="12"/>
  <c r="H33"/>
  <c r="H38" i="17" s="1"/>
  <c r="H32" i="12"/>
  <c r="H37" i="17" s="1"/>
  <c r="H31" i="12"/>
  <c r="H36" i="17" s="1"/>
  <c r="H30" i="12"/>
  <c r="H29"/>
  <c r="H34" i="17" s="1"/>
  <c r="H28" i="12"/>
  <c r="H33" i="17" s="1"/>
  <c r="H27" i="12"/>
  <c r="H26"/>
  <c r="H31" i="17" s="1"/>
  <c r="H25" i="12"/>
  <c r="H24"/>
  <c r="H23"/>
  <c r="H22"/>
  <c r="H21"/>
  <c r="H19"/>
  <c r="I239" s="1"/>
  <c r="H18"/>
  <c r="I238" s="1"/>
  <c r="H17"/>
  <c r="H16"/>
  <c r="H220" s="1"/>
  <c r="H15"/>
  <c r="H20" i="17" s="1"/>
  <c r="H14" i="12"/>
  <c r="H13"/>
  <c r="H217" s="1"/>
  <c r="H12"/>
  <c r="H17" i="17" s="1"/>
  <c r="H11" i="12"/>
  <c r="H10"/>
  <c r="H9"/>
  <c r="H8"/>
  <c r="H13" i="17" s="1"/>
  <c r="H7" i="12"/>
  <c r="H12" i="17" s="1"/>
  <c r="H6" i="12"/>
  <c r="H5"/>
  <c r="G99"/>
  <c r="G104" i="17" s="1"/>
  <c r="G98" i="12"/>
  <c r="G103" i="17" s="1"/>
  <c r="G97" i="12"/>
  <c r="G96"/>
  <c r="G95"/>
  <c r="G100" i="17" s="1"/>
  <c r="G94" i="12"/>
  <c r="G99" i="17" s="1"/>
  <c r="G93" i="12"/>
  <c r="G91"/>
  <c r="G90"/>
  <c r="G95" i="17" s="1"/>
  <c r="G89" i="12"/>
  <c r="G94" i="17" s="1"/>
  <c r="G88" i="12"/>
  <c r="G87"/>
  <c r="G92" i="17" s="1"/>
  <c r="G86" i="12"/>
  <c r="G85"/>
  <c r="G90" i="17" s="1"/>
  <c r="G83" i="12"/>
  <c r="G88" i="17" s="1"/>
  <c r="G82" i="12"/>
  <c r="G81"/>
  <c r="G86" i="17" s="1"/>
  <c r="G80" i="12"/>
  <c r="G85" i="17" s="1"/>
  <c r="G79" i="12"/>
  <c r="G84" i="17" s="1"/>
  <c r="G78" i="12"/>
  <c r="G77"/>
  <c r="G82" i="17" s="1"/>
  <c r="G76" i="12"/>
  <c r="G81" i="17" s="1"/>
  <c r="G75" i="12"/>
  <c r="G80" i="17" s="1"/>
  <c r="G74" i="12"/>
  <c r="G73"/>
  <c r="G78" i="17" s="1"/>
  <c r="G72" i="12"/>
  <c r="G77" i="17" s="1"/>
  <c r="G70" i="12"/>
  <c r="G69"/>
  <c r="G74" i="17" s="1"/>
  <c r="G68" i="12"/>
  <c r="G73" i="17" s="1"/>
  <c r="G67" i="12"/>
  <c r="G66"/>
  <c r="G71" i="17" s="1"/>
  <c r="G65" i="12"/>
  <c r="G70" i="17" s="1"/>
  <c r="G64" i="12"/>
  <c r="G69" i="17" s="1"/>
  <c r="G63" i="12"/>
  <c r="G224" s="1"/>
  <c r="G61"/>
  <c r="G60"/>
  <c r="G65" i="17" s="1"/>
  <c r="G54" i="12"/>
  <c r="G59" i="17" s="1"/>
  <c r="G53" i="12"/>
  <c r="G58" i="17" s="1"/>
  <c r="G52" i="12"/>
  <c r="G51"/>
  <c r="G56" i="17" s="1"/>
  <c r="G50" i="12"/>
  <c r="G55" i="17" s="1"/>
  <c r="G49" i="12"/>
  <c r="G54" i="17" s="1"/>
  <c r="G47" i="12"/>
  <c r="G46"/>
  <c r="G44"/>
  <c r="G49" i="17" s="1"/>
  <c r="G43" i="12"/>
  <c r="G42"/>
  <c r="G41"/>
  <c r="G40"/>
  <c r="G45" i="17" s="1"/>
  <c r="G39" i="12"/>
  <c r="G44" i="17" s="1"/>
  <c r="G38" i="12"/>
  <c r="G37"/>
  <c r="G42" i="17" s="1"/>
  <c r="G36" i="12"/>
  <c r="G41" i="17" s="1"/>
  <c r="G35" i="12"/>
  <c r="G40" i="17" s="1"/>
  <c r="G34" i="12"/>
  <c r="G33"/>
  <c r="G32"/>
  <c r="G37" i="17" s="1"/>
  <c r="G31" i="12"/>
  <c r="G36" i="17" s="1"/>
  <c r="G30" i="12"/>
  <c r="G35" i="17" s="1"/>
  <c r="G29" i="12"/>
  <c r="G28"/>
  <c r="G33" i="17" s="1"/>
  <c r="G27" i="12"/>
  <c r="G32" i="17" s="1"/>
  <c r="G26" i="12"/>
  <c r="G31" i="17" s="1"/>
  <c r="G25" i="12"/>
  <c r="G24"/>
  <c r="G29" i="17" s="1"/>
  <c r="G23" i="12"/>
  <c r="G28" i="17" s="1"/>
  <c r="G22" i="12"/>
  <c r="G27" i="17" s="1"/>
  <c r="G21" i="12"/>
  <c r="G26" i="17" s="1"/>
  <c r="G19" i="12"/>
  <c r="G18"/>
  <c r="G23" i="17" s="1"/>
  <c r="G17" i="12"/>
  <c r="G16"/>
  <c r="G21" i="17" s="1"/>
  <c r="G15" i="12"/>
  <c r="G20" i="17" s="1"/>
  <c r="G14" i="12"/>
  <c r="G219" s="1"/>
  <c r="G13"/>
  <c r="G12"/>
  <c r="G17" i="17" s="1"/>
  <c r="G11" i="12"/>
  <c r="G16" i="17" s="1"/>
  <c r="G10" i="12"/>
  <c r="G15" i="17" s="1"/>
  <c r="G9" i="12"/>
  <c r="G8"/>
  <c r="G13" i="17" s="1"/>
  <c r="G7" i="12"/>
  <c r="G12" i="17" s="1"/>
  <c r="G6" i="12"/>
  <c r="G5"/>
  <c r="F99"/>
  <c r="F98"/>
  <c r="F103" i="17" s="1"/>
  <c r="F97" i="12"/>
  <c r="F102" i="17" s="1"/>
  <c r="F96" i="12"/>
  <c r="F95"/>
  <c r="F94"/>
  <c r="F99" i="17" s="1"/>
  <c r="F93" i="12"/>
  <c r="F98" i="17" s="1"/>
  <c r="F91" i="12"/>
  <c r="F90"/>
  <c r="F95" i="17" s="1"/>
  <c r="F89" i="12"/>
  <c r="F94" i="17" s="1"/>
  <c r="F88" i="12"/>
  <c r="F93" i="17" s="1"/>
  <c r="F87" i="12"/>
  <c r="F86"/>
  <c r="F85"/>
  <c r="F90" i="17" s="1"/>
  <c r="F83" i="12"/>
  <c r="F88" i="17" s="1"/>
  <c r="F82" i="12"/>
  <c r="F81"/>
  <c r="G243" s="1"/>
  <c r="F80"/>
  <c r="F85" i="17" s="1"/>
  <c r="F79" i="12"/>
  <c r="F84" i="17" s="1"/>
  <c r="F78" i="12"/>
  <c r="G237" s="1"/>
  <c r="F77"/>
  <c r="F82" i="17" s="1"/>
  <c r="F76" i="12"/>
  <c r="F81" i="17" s="1"/>
  <c r="F75" i="12"/>
  <c r="H233" s="1"/>
  <c r="F74"/>
  <c r="F73"/>
  <c r="F72"/>
  <c r="H230" s="1"/>
  <c r="F70"/>
  <c r="F75" i="17" s="1"/>
  <c r="F69" i="12"/>
  <c r="F68"/>
  <c r="F67"/>
  <c r="F72" i="17" s="1"/>
  <c r="F66" i="12"/>
  <c r="F65"/>
  <c r="F64"/>
  <c r="F69" i="17" s="1"/>
  <c r="F63" i="12"/>
  <c r="F68" i="17" s="1"/>
  <c r="F229" s="1"/>
  <c r="F61" i="12"/>
  <c r="F66" i="17" s="1"/>
  <c r="F60" i="12"/>
  <c r="F54"/>
  <c r="F59" i="17" s="1"/>
  <c r="F53" i="12"/>
  <c r="F58" i="17" s="1"/>
  <c r="F52" i="12"/>
  <c r="F57" i="17" s="1"/>
  <c r="F51" i="12"/>
  <c r="F50"/>
  <c r="F49"/>
  <c r="F47"/>
  <c r="F52" i="17" s="1"/>
  <c r="F46" i="12"/>
  <c r="F44"/>
  <c r="F49" i="17" s="1"/>
  <c r="F43" i="12"/>
  <c r="F48" i="17" s="1"/>
  <c r="F42" i="12"/>
  <c r="F47" i="17" s="1"/>
  <c r="F41" i="12"/>
  <c r="F40"/>
  <c r="F39"/>
  <c r="F44" i="17" s="1"/>
  <c r="F38" i="12"/>
  <c r="F43" i="17" s="1"/>
  <c r="F37" i="12"/>
  <c r="F36"/>
  <c r="F35"/>
  <c r="F40" i="17" s="1"/>
  <c r="F34" i="12"/>
  <c r="F39" i="17" s="1"/>
  <c r="F33" i="12"/>
  <c r="F32"/>
  <c r="F37" i="17" s="1"/>
  <c r="F31" i="12"/>
  <c r="F36" i="17" s="1"/>
  <c r="F30" i="12"/>
  <c r="F35" i="17" s="1"/>
  <c r="F29" i="12"/>
  <c r="F34" i="17" s="1"/>
  <c r="F28" i="12"/>
  <c r="F33" i="17" s="1"/>
  <c r="F27" i="12"/>
  <c r="F32" i="17" s="1"/>
  <c r="F26" i="12"/>
  <c r="F31" i="17" s="1"/>
  <c r="F25" i="12"/>
  <c r="F30" i="17" s="1"/>
  <c r="F24" i="12"/>
  <c r="F23"/>
  <c r="F28" i="17" s="1"/>
  <c r="F22" i="12"/>
  <c r="F21"/>
  <c r="F26" i="17" s="1"/>
  <c r="F19" i="12"/>
  <c r="H239" s="1"/>
  <c r="F18"/>
  <c r="F17"/>
  <c r="F16"/>
  <c r="F15"/>
  <c r="F20" i="17" s="1"/>
  <c r="F14" i="12"/>
  <c r="F219" s="1"/>
  <c r="F13"/>
  <c r="F18" i="17" s="1"/>
  <c r="F12" i="12"/>
  <c r="F17" i="17" s="1"/>
  <c r="F11" i="12"/>
  <c r="F16" i="17" s="1"/>
  <c r="F10" i="12"/>
  <c r="F15" i="17" s="1"/>
  <c r="F9" i="12"/>
  <c r="F14" i="17" s="1"/>
  <c r="F8" i="12"/>
  <c r="F7"/>
  <c r="F12" i="17" s="1"/>
  <c r="F6" i="12"/>
  <c r="F216" s="1"/>
  <c r="F5"/>
  <c r="E99"/>
  <c r="E104" i="17" s="1"/>
  <c r="E98" i="12"/>
  <c r="E103" i="17" s="1"/>
  <c r="E97" i="12"/>
  <c r="E96"/>
  <c r="E101" i="17" s="1"/>
  <c r="E95" i="12"/>
  <c r="E94"/>
  <c r="E99" i="17" s="1"/>
  <c r="E93" i="12"/>
  <c r="E98" i="17" s="1"/>
  <c r="E91" i="12"/>
  <c r="E96" i="17" s="1"/>
  <c r="E90" i="12"/>
  <c r="E95" i="17" s="1"/>
  <c r="E89" i="12"/>
  <c r="E94" i="17" s="1"/>
  <c r="E88" i="12"/>
  <c r="E93" i="17" s="1"/>
  <c r="E87" i="12"/>
  <c r="E92" i="17" s="1"/>
  <c r="E86" i="12"/>
  <c r="E85"/>
  <c r="E90" i="17" s="1"/>
  <c r="E83" i="12"/>
  <c r="E88" i="17" s="1"/>
  <c r="E82" i="12"/>
  <c r="E87" i="17" s="1"/>
  <c r="E81" i="12"/>
  <c r="E86" i="17" s="1"/>
  <c r="F248" s="1"/>
  <c r="E80" i="12"/>
  <c r="E79"/>
  <c r="E84" i="17" s="1"/>
  <c r="E78" i="12"/>
  <c r="E83" i="17" s="1"/>
  <c r="F242" s="1"/>
  <c r="E77" i="12"/>
  <c r="E82" i="17" s="1"/>
  <c r="E76" i="12"/>
  <c r="E81" i="17" s="1"/>
  <c r="E75" i="12"/>
  <c r="E80" i="17" s="1"/>
  <c r="F238" s="1"/>
  <c r="E74" i="12"/>
  <c r="E79" i="17" s="1"/>
  <c r="E73" i="12"/>
  <c r="E78" i="17" s="1"/>
  <c r="E72" i="12"/>
  <c r="E70"/>
  <c r="E75" i="17" s="1"/>
  <c r="E69" i="12"/>
  <c r="E74" i="17" s="1"/>
  <c r="E68" i="12"/>
  <c r="E73" i="17" s="1"/>
  <c r="E67" i="12"/>
  <c r="F248" s="1"/>
  <c r="E66"/>
  <c r="E65"/>
  <c r="E70" i="17" s="1"/>
  <c r="E64" i="12"/>
  <c r="E63"/>
  <c r="E224" s="1"/>
  <c r="E61"/>
  <c r="E66" i="17" s="1"/>
  <c r="E60" i="12"/>
  <c r="E65" i="17" s="1"/>
  <c r="E54" i="12"/>
  <c r="E53"/>
  <c r="E52"/>
  <c r="E57" i="17" s="1"/>
  <c r="E51" i="12"/>
  <c r="E56" i="17" s="1"/>
  <c r="E50" i="12"/>
  <c r="E49"/>
  <c r="E47"/>
  <c r="E52" i="17" s="1"/>
  <c r="E46" i="12"/>
  <c r="E51" i="17" s="1"/>
  <c r="E44" i="12"/>
  <c r="E43"/>
  <c r="E48" i="17" s="1"/>
  <c r="E42" i="12"/>
  <c r="E47" i="17" s="1"/>
  <c r="E41" i="12"/>
  <c r="E46" i="17" s="1"/>
  <c r="E40" i="12"/>
  <c r="E39"/>
  <c r="E44" i="17" s="1"/>
  <c r="E38" i="12"/>
  <c r="E43" i="17" s="1"/>
  <c r="E37" i="12"/>
  <c r="E42" i="17" s="1"/>
  <c r="E36" i="12"/>
  <c r="E41" i="17" s="1"/>
  <c r="E35" i="12"/>
  <c r="E40" i="17" s="1"/>
  <c r="E34" i="12"/>
  <c r="E39" i="17" s="1"/>
  <c r="E33" i="12"/>
  <c r="E38" i="17" s="1"/>
  <c r="E32" i="12"/>
  <c r="E37" i="17" s="1"/>
  <c r="E31" i="12"/>
  <c r="E36" i="17" s="1"/>
  <c r="E30" i="12"/>
  <c r="E35" i="17" s="1"/>
  <c r="E29" i="12"/>
  <c r="E34" i="17" s="1"/>
  <c r="E28" i="12"/>
  <c r="E27"/>
  <c r="E32" i="17" s="1"/>
  <c r="E26" i="12"/>
  <c r="E31" i="17" s="1"/>
  <c r="E25" i="12"/>
  <c r="E30" i="17" s="1"/>
  <c r="E24" i="12"/>
  <c r="E23"/>
  <c r="E28" i="17" s="1"/>
  <c r="E22" i="12"/>
  <c r="E27" i="17" s="1"/>
  <c r="E21" i="12"/>
  <c r="E19"/>
  <c r="F239" s="1"/>
  <c r="E18"/>
  <c r="E23" i="17" s="1"/>
  <c r="E17" i="12"/>
  <c r="E22" i="17" s="1"/>
  <c r="E227" s="1"/>
  <c r="E16" i="12"/>
  <c r="E21" i="17" s="1"/>
  <c r="E15" i="12"/>
  <c r="E14"/>
  <c r="E19" i="17" s="1"/>
  <c r="E13" i="12"/>
  <c r="E18" i="17" s="1"/>
  <c r="E12" i="12"/>
  <c r="E17" i="17" s="1"/>
  <c r="E11" i="12"/>
  <c r="E10"/>
  <c r="E9"/>
  <c r="E14" i="17" s="1"/>
  <c r="E8" i="12"/>
  <c r="E13" i="17" s="1"/>
  <c r="E7" i="12"/>
  <c r="E6"/>
  <c r="E5"/>
  <c r="E214" s="1"/>
  <c r="E63" i="17"/>
  <c r="F63"/>
  <c r="G63"/>
  <c r="H63"/>
  <c r="E64"/>
  <c r="F64"/>
  <c r="G64"/>
  <c r="H64"/>
  <c r="H62"/>
  <c r="H61"/>
  <c r="E192"/>
  <c r="E191"/>
  <c r="E190"/>
  <c r="E184"/>
  <c r="E183"/>
  <c r="E182"/>
  <c r="E187" i="12"/>
  <c r="E186"/>
  <c r="E185"/>
  <c r="E179"/>
  <c r="E178"/>
  <c r="E177"/>
  <c r="D56" i="8"/>
  <c r="E56"/>
  <c r="J9" i="17"/>
  <c r="I9"/>
  <c r="J6"/>
  <c r="J5"/>
  <c r="P1" i="9"/>
  <c r="D104" i="8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E10"/>
  <c r="M1" i="15"/>
  <c r="I4" i="12"/>
  <c r="H4" i="19" s="1"/>
  <c r="F9" i="8"/>
  <c r="F56" s="1"/>
  <c r="F103"/>
  <c r="E104"/>
  <c r="E103"/>
  <c r="E102"/>
  <c r="E101"/>
  <c r="E100"/>
  <c r="F99"/>
  <c r="E99"/>
  <c r="E98"/>
  <c r="E97"/>
  <c r="E96"/>
  <c r="F95"/>
  <c r="E95"/>
  <c r="F94"/>
  <c r="E94"/>
  <c r="E93"/>
  <c r="E92"/>
  <c r="E91"/>
  <c r="E90"/>
  <c r="E89"/>
  <c r="E88"/>
  <c r="E87"/>
  <c r="E86"/>
  <c r="E85"/>
  <c r="E84"/>
  <c r="E83"/>
  <c r="F82"/>
  <c r="E82"/>
  <c r="E81"/>
  <c r="E80"/>
  <c r="E79"/>
  <c r="F78"/>
  <c r="E78"/>
  <c r="E77"/>
  <c r="E76"/>
  <c r="E75"/>
  <c r="E74"/>
  <c r="E73"/>
  <c r="F72"/>
  <c r="E72"/>
  <c r="F71"/>
  <c r="E71"/>
  <c r="E70"/>
  <c r="E69"/>
  <c r="E68"/>
  <c r="M1" i="9"/>
  <c r="E67" i="8"/>
  <c r="E66"/>
  <c r="E65"/>
  <c r="E64"/>
  <c r="E63"/>
  <c r="E62"/>
  <c r="E61"/>
  <c r="E60"/>
  <c r="F59"/>
  <c r="E59"/>
  <c r="F58"/>
  <c r="E58"/>
  <c r="F57"/>
  <c r="E57"/>
  <c r="F55"/>
  <c r="E55"/>
  <c r="F54"/>
  <c r="E54"/>
  <c r="F53"/>
  <c r="E53"/>
  <c r="F52"/>
  <c r="E52"/>
  <c r="F51"/>
  <c r="E51"/>
  <c r="E50"/>
  <c r="E49"/>
  <c r="E48"/>
  <c r="F47"/>
  <c r="E47"/>
  <c r="E46"/>
  <c r="F45"/>
  <c r="E45"/>
  <c r="E44"/>
  <c r="F43"/>
  <c r="E43"/>
  <c r="E42"/>
  <c r="F41"/>
  <c r="E41"/>
  <c r="E40"/>
  <c r="F39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F19"/>
  <c r="E19"/>
  <c r="E18"/>
  <c r="F17"/>
  <c r="E17"/>
  <c r="E16"/>
  <c r="F15"/>
  <c r="E15"/>
  <c r="F14"/>
  <c r="E14"/>
  <c r="F13"/>
  <c r="E13"/>
  <c r="F12"/>
  <c r="E12"/>
  <c r="F11"/>
  <c r="E11"/>
  <c r="F10"/>
  <c r="F21"/>
  <c r="F23"/>
  <c r="F27"/>
  <c r="F29"/>
  <c r="F31"/>
  <c r="F33"/>
  <c r="F35"/>
  <c r="F37"/>
  <c r="F60"/>
  <c r="F64"/>
  <c r="F66"/>
  <c r="F74"/>
  <c r="F86"/>
  <c r="F88"/>
  <c r="F16"/>
  <c r="F18"/>
  <c r="F22"/>
  <c r="F24"/>
  <c r="F26"/>
  <c r="F28"/>
  <c r="F30"/>
  <c r="F32"/>
  <c r="F34"/>
  <c r="F61"/>
  <c r="F63"/>
  <c r="F65"/>
  <c r="F67"/>
  <c r="F68"/>
  <c r="F87"/>
  <c r="F92"/>
  <c r="F44"/>
  <c r="F46"/>
  <c r="F48"/>
  <c r="F50"/>
  <c r="F83"/>
  <c r="F90"/>
  <c r="F98"/>
  <c r="F38"/>
  <c r="F40"/>
  <c r="F42"/>
  <c r="F76"/>
  <c r="F104"/>
  <c r="F69"/>
  <c r="F77"/>
  <c r="F93"/>
  <c r="F101"/>
  <c r="F73"/>
  <c r="F81"/>
  <c r="F89"/>
  <c r="F97"/>
  <c r="F85"/>
  <c r="G9"/>
  <c r="F100"/>
  <c r="F36"/>
  <c r="F20"/>
  <c r="F62"/>
  <c r="F25"/>
  <c r="F49"/>
  <c r="F79"/>
  <c r="F84"/>
  <c r="F91"/>
  <c r="F96"/>
  <c r="F102"/>
  <c r="F70"/>
  <c r="F75"/>
  <c r="F80"/>
  <c r="G18"/>
  <c r="G59"/>
  <c r="G76"/>
  <c r="H9"/>
  <c r="H55" s="1"/>
  <c r="G100"/>
  <c r="G101"/>
  <c r="G92"/>
  <c r="G19"/>
  <c r="G28"/>
  <c r="G71"/>
  <c r="G88"/>
  <c r="G24"/>
  <c r="G22"/>
  <c r="G50"/>
  <c r="G41"/>
  <c r="G21"/>
  <c r="G75"/>
  <c r="G42"/>
  <c r="G95"/>
  <c r="G49"/>
  <c r="G38"/>
  <c r="G87"/>
  <c r="G93"/>
  <c r="G60"/>
  <c r="G91"/>
  <c r="G35"/>
  <c r="G45"/>
  <c r="H95"/>
  <c r="H59"/>
  <c r="H101"/>
  <c r="H33"/>
  <c r="H88"/>
  <c r="F62" i="17"/>
  <c r="E62"/>
  <c r="E61"/>
  <c r="F61"/>
  <c r="G61"/>
  <c r="G62"/>
  <c r="J14" i="19"/>
  <c r="I14"/>
  <c r="J10"/>
  <c r="J6"/>
  <c r="AG77" i="17"/>
  <c r="AH235" s="1"/>
  <c r="N11"/>
  <c r="X36"/>
  <c r="AD79"/>
  <c r="G91"/>
  <c r="J20"/>
  <c r="K68"/>
  <c r="L40"/>
  <c r="M18"/>
  <c r="M131" s="1"/>
  <c r="N65"/>
  <c r="R36"/>
  <c r="S14"/>
  <c r="S85"/>
  <c r="V18"/>
  <c r="W236" s="1"/>
  <c r="X16"/>
  <c r="G72"/>
  <c r="Y94"/>
  <c r="AC49"/>
  <c r="AF28"/>
  <c r="AI26"/>
  <c r="AJ245" s="1"/>
  <c r="K103"/>
  <c r="L79"/>
  <c r="N28"/>
  <c r="Q26"/>
  <c r="Q99"/>
  <c r="R123" s="1"/>
  <c r="R74"/>
  <c r="S46"/>
  <c r="T24"/>
  <c r="U244" s="1"/>
  <c r="T96"/>
  <c r="V65"/>
  <c r="G48"/>
  <c r="M88"/>
  <c r="M142" s="1"/>
  <c r="X15"/>
  <c r="AB101"/>
  <c r="AK46"/>
  <c r="F54"/>
  <c r="I99"/>
  <c r="J36"/>
  <c r="K85"/>
  <c r="L24"/>
  <c r="M244" s="1"/>
  <c r="L58"/>
  <c r="M34"/>
  <c r="N12"/>
  <c r="N83"/>
  <c r="O242" s="1"/>
  <c r="O22"/>
  <c r="Q42"/>
  <c r="R92"/>
  <c r="R120" s="1"/>
  <c r="S68"/>
  <c r="S229" s="1"/>
  <c r="S103"/>
  <c r="T40"/>
  <c r="T79"/>
  <c r="W38"/>
  <c r="F10"/>
  <c r="F219" s="1"/>
  <c r="L69"/>
  <c r="P95"/>
  <c r="V77"/>
  <c r="W235" s="1"/>
  <c r="W26"/>
  <c r="X245" s="1"/>
  <c r="W99"/>
  <c r="X123" s="1"/>
  <c r="X74"/>
  <c r="Y46"/>
  <c r="Z16"/>
  <c r="Z87"/>
  <c r="AB28"/>
  <c r="AC247" s="1"/>
  <c r="AD40"/>
  <c r="AE18"/>
  <c r="AG38"/>
  <c r="AH16"/>
  <c r="AJ36"/>
  <c r="AK14"/>
  <c r="AL58"/>
  <c r="G24"/>
  <c r="I34"/>
  <c r="I72"/>
  <c r="J28"/>
  <c r="J65"/>
  <c r="J83"/>
  <c r="J101"/>
  <c r="K38"/>
  <c r="K77"/>
  <c r="L235" s="1"/>
  <c r="K94"/>
  <c r="L16"/>
  <c r="L32"/>
  <c r="M26"/>
  <c r="M81"/>
  <c r="M99"/>
  <c r="N123" s="1"/>
  <c r="N20"/>
  <c r="N36"/>
  <c r="O46"/>
  <c r="O68"/>
  <c r="O229" s="1"/>
  <c r="O85"/>
  <c r="O103"/>
  <c r="P96"/>
  <c r="Q18"/>
  <c r="Q34"/>
  <c r="R28"/>
  <c r="R65"/>
  <c r="R83"/>
  <c r="S242" s="1"/>
  <c r="R101"/>
  <c r="S38"/>
  <c r="S77"/>
  <c r="S94"/>
  <c r="T32"/>
  <c r="T87"/>
  <c r="U42"/>
  <c r="W77"/>
  <c r="X235" s="1"/>
  <c r="X100"/>
  <c r="AB32"/>
  <c r="AC81"/>
  <c r="AF73"/>
  <c r="F80"/>
  <c r="F222" s="1"/>
  <c r="H16"/>
  <c r="J78"/>
  <c r="M93"/>
  <c r="M144" s="1"/>
  <c r="Q102"/>
  <c r="T27"/>
  <c r="T171" s="1"/>
  <c r="U94"/>
  <c r="W81"/>
  <c r="W93"/>
  <c r="X20"/>
  <c r="X92"/>
  <c r="X120" s="1"/>
  <c r="Y103"/>
  <c r="Z24"/>
  <c r="AA244" s="1"/>
  <c r="Z96"/>
  <c r="AA18"/>
  <c r="AC38"/>
  <c r="AD24"/>
  <c r="AE244" s="1"/>
  <c r="AD58"/>
  <c r="AD96"/>
  <c r="AE72"/>
  <c r="AF253" s="1"/>
  <c r="AJ20"/>
  <c r="AJ92"/>
  <c r="AJ120" s="1"/>
  <c r="AK68"/>
  <c r="AK229" s="1"/>
  <c r="AK103"/>
  <c r="AL40"/>
  <c r="E102"/>
  <c r="H101"/>
  <c r="I14"/>
  <c r="I94"/>
  <c r="J16"/>
  <c r="J24"/>
  <c r="K244" s="1"/>
  <c r="J32"/>
  <c r="J40"/>
  <c r="J58"/>
  <c r="J79"/>
  <c r="K18"/>
  <c r="K26"/>
  <c r="K34"/>
  <c r="K72"/>
  <c r="K81"/>
  <c r="K99"/>
  <c r="L123" s="1"/>
  <c r="L12"/>
  <c r="L20"/>
  <c r="L28"/>
  <c r="L36"/>
  <c r="L65"/>
  <c r="L74"/>
  <c r="L155" s="1"/>
  <c r="L101"/>
  <c r="M14"/>
  <c r="M22"/>
  <c r="M46"/>
  <c r="M77"/>
  <c r="M85"/>
  <c r="M94"/>
  <c r="M103"/>
  <c r="M147" s="1"/>
  <c r="N16"/>
  <c r="N24"/>
  <c r="O244" s="1"/>
  <c r="N32"/>
  <c r="N40"/>
  <c r="N162" s="1"/>
  <c r="N58"/>
  <c r="N87"/>
  <c r="O42"/>
  <c r="P65"/>
  <c r="P92"/>
  <c r="P120" s="1"/>
  <c r="P101"/>
  <c r="Q22"/>
  <c r="Q103"/>
  <c r="R24"/>
  <c r="S244" s="1"/>
  <c r="R32"/>
  <c r="R40"/>
  <c r="R58"/>
  <c r="R79"/>
  <c r="R87"/>
  <c r="R96"/>
  <c r="S18"/>
  <c r="S131" s="1"/>
  <c r="S26"/>
  <c r="S34"/>
  <c r="S42"/>
  <c r="S72"/>
  <c r="T253" s="1"/>
  <c r="S81"/>
  <c r="S99"/>
  <c r="T123" s="1"/>
  <c r="T36"/>
  <c r="T65"/>
  <c r="T134" s="1"/>
  <c r="T74"/>
  <c r="T83"/>
  <c r="T92"/>
  <c r="T120" s="1"/>
  <c r="T101"/>
  <c r="U38"/>
  <c r="U68"/>
  <c r="U77"/>
  <c r="V235" s="1"/>
  <c r="V23"/>
  <c r="W94"/>
  <c r="X32"/>
  <c r="Y71"/>
  <c r="Z252" s="1"/>
  <c r="AA22"/>
  <c r="AC42"/>
  <c r="AD31"/>
  <c r="E11"/>
  <c r="E15"/>
  <c r="E54"/>
  <c r="E58"/>
  <c r="E72"/>
  <c r="F253" s="1"/>
  <c r="E85"/>
  <c r="F29"/>
  <c r="F41"/>
  <c r="F45"/>
  <c r="F55"/>
  <c r="F73"/>
  <c r="F78"/>
  <c r="F91"/>
  <c r="F100"/>
  <c r="F104"/>
  <c r="G30"/>
  <c r="G34"/>
  <c r="G38"/>
  <c r="G46"/>
  <c r="G51"/>
  <c r="G79"/>
  <c r="G83"/>
  <c r="G87"/>
  <c r="G96"/>
  <c r="G101"/>
  <c r="H14"/>
  <c r="H35"/>
  <c r="H84"/>
  <c r="I86"/>
  <c r="I91"/>
  <c r="I95"/>
  <c r="I104"/>
  <c r="J13"/>
  <c r="J17"/>
  <c r="J25"/>
  <c r="J33"/>
  <c r="J37"/>
  <c r="J41"/>
  <c r="J45"/>
  <c r="J49"/>
  <c r="J66"/>
  <c r="J71"/>
  <c r="J80"/>
  <c r="J137" s="1"/>
  <c r="J84"/>
  <c r="J98"/>
  <c r="K11"/>
  <c r="K27"/>
  <c r="K35"/>
  <c r="K69"/>
  <c r="K73"/>
  <c r="K78"/>
  <c r="K82"/>
  <c r="K86"/>
  <c r="K91"/>
  <c r="K95"/>
  <c r="K100"/>
  <c r="K104"/>
  <c r="L13"/>
  <c r="L25"/>
  <c r="L33"/>
  <c r="L37"/>
  <c r="L41"/>
  <c r="L45"/>
  <c r="L49"/>
  <c r="L66"/>
  <c r="L71"/>
  <c r="L75"/>
  <c r="L156" s="1"/>
  <c r="L84"/>
  <c r="L88"/>
  <c r="M11"/>
  <c r="M15"/>
  <c r="M19"/>
  <c r="M23"/>
  <c r="M27"/>
  <c r="M31"/>
  <c r="M35"/>
  <c r="M43"/>
  <c r="M69"/>
  <c r="M73"/>
  <c r="M78"/>
  <c r="M82"/>
  <c r="M138" s="1"/>
  <c r="M86"/>
  <c r="M91"/>
  <c r="M95"/>
  <c r="M100"/>
  <c r="M104"/>
  <c r="N13"/>
  <c r="N17"/>
  <c r="N25"/>
  <c r="N33"/>
  <c r="N37"/>
  <c r="N161" s="1"/>
  <c r="N41"/>
  <c r="N45"/>
  <c r="N49"/>
  <c r="N66"/>
  <c r="N134" s="1"/>
  <c r="N93"/>
  <c r="O15"/>
  <c r="O69"/>
  <c r="O82"/>
  <c r="O91"/>
  <c r="O95"/>
  <c r="P17"/>
  <c r="P75"/>
  <c r="P88"/>
  <c r="P98"/>
  <c r="Q35"/>
  <c r="Q73"/>
  <c r="Q86"/>
  <c r="R248" s="1"/>
  <c r="R33"/>
  <c r="R37"/>
  <c r="R41"/>
  <c r="R163" s="1"/>
  <c r="R45"/>
  <c r="R49"/>
  <c r="R66"/>
  <c r="R71"/>
  <c r="S252" s="1"/>
  <c r="R75"/>
  <c r="R80"/>
  <c r="S238" s="1"/>
  <c r="R84"/>
  <c r="R88"/>
  <c r="R93"/>
  <c r="R98"/>
  <c r="R102"/>
  <c r="S11"/>
  <c r="S15"/>
  <c r="S19"/>
  <c r="S23"/>
  <c r="S27"/>
  <c r="S31"/>
  <c r="S35"/>
  <c r="S43"/>
  <c r="S69"/>
  <c r="S73"/>
  <c r="S78"/>
  <c r="S82"/>
  <c r="S138" s="1"/>
  <c r="S86"/>
  <c r="S91"/>
  <c r="S95"/>
  <c r="S100"/>
  <c r="S104"/>
  <c r="T13"/>
  <c r="T17"/>
  <c r="T25"/>
  <c r="T33"/>
  <c r="T37"/>
  <c r="T41"/>
  <c r="T45"/>
  <c r="T169" s="1"/>
  <c r="T49"/>
  <c r="T66"/>
  <c r="T71"/>
  <c r="U252" s="1"/>
  <c r="T75"/>
  <c r="T80"/>
  <c r="U238" s="1"/>
  <c r="T84"/>
  <c r="T88"/>
  <c r="U19"/>
  <c r="U23"/>
  <c r="V243" s="1"/>
  <c r="U82"/>
  <c r="U103"/>
  <c r="V14"/>
  <c r="V24"/>
  <c r="W244" s="1"/>
  <c r="V96"/>
  <c r="V103"/>
  <c r="W18"/>
  <c r="W72"/>
  <c r="X253" s="1"/>
  <c r="X12"/>
  <c r="X28"/>
  <c r="Y247" s="1"/>
  <c r="X65"/>
  <c r="X101"/>
  <c r="Y38"/>
  <c r="Z28"/>
  <c r="AA247" s="1"/>
  <c r="Z65"/>
  <c r="Z83"/>
  <c r="AA242" s="1"/>
  <c r="Z92"/>
  <c r="Z120" s="1"/>
  <c r="Z101"/>
  <c r="AA14"/>
  <c r="AA34"/>
  <c r="AA72"/>
  <c r="AB253" s="1"/>
  <c r="AB83"/>
  <c r="AC242" s="1"/>
  <c r="AC22"/>
  <c r="AD16"/>
  <c r="AD32"/>
  <c r="AD87"/>
  <c r="AE81"/>
  <c r="AE99"/>
  <c r="AF123" s="1"/>
  <c r="AF74"/>
  <c r="AG46"/>
  <c r="AG68"/>
  <c r="AH250" s="1"/>
  <c r="AH40"/>
  <c r="AH96"/>
  <c r="AI34"/>
  <c r="AJ28"/>
  <c r="AJ65"/>
  <c r="AJ83"/>
  <c r="AJ139" s="1"/>
  <c r="AJ101"/>
  <c r="AK22"/>
  <c r="AK38"/>
  <c r="AL16"/>
  <c r="AL32"/>
  <c r="E12"/>
  <c r="E16"/>
  <c r="E20"/>
  <c r="E24"/>
  <c r="F244" s="1"/>
  <c r="E29"/>
  <c r="E33"/>
  <c r="E45"/>
  <c r="E49"/>
  <c r="E55"/>
  <c r="E59"/>
  <c r="E69"/>
  <c r="E91"/>
  <c r="E100"/>
  <c r="F13"/>
  <c r="F21"/>
  <c r="F225" s="1"/>
  <c r="F38"/>
  <c r="F42"/>
  <c r="F46"/>
  <c r="F51"/>
  <c r="F56"/>
  <c r="F65"/>
  <c r="F70"/>
  <c r="F74"/>
  <c r="F79"/>
  <c r="F83"/>
  <c r="H242" s="1"/>
  <c r="F87"/>
  <c r="F92"/>
  <c r="F96"/>
  <c r="F101"/>
  <c r="G10"/>
  <c r="G14"/>
  <c r="G18"/>
  <c r="G39"/>
  <c r="G43"/>
  <c r="G47"/>
  <c r="G52"/>
  <c r="G57"/>
  <c r="G66"/>
  <c r="G75"/>
  <c r="G93"/>
  <c r="G98"/>
  <c r="G102"/>
  <c r="H15"/>
  <c r="H19"/>
  <c r="H23"/>
  <c r="I243" s="1"/>
  <c r="H28"/>
  <c r="H32"/>
  <c r="H58"/>
  <c r="H99"/>
  <c r="J22"/>
  <c r="J151" s="1"/>
  <c r="J38"/>
  <c r="K40"/>
  <c r="K164" s="1"/>
  <c r="K79"/>
  <c r="L46"/>
  <c r="L77"/>
  <c r="M235" s="1"/>
  <c r="M83"/>
  <c r="N242" s="1"/>
  <c r="M96"/>
  <c r="N94"/>
  <c r="O36"/>
  <c r="Q40"/>
  <c r="R18"/>
  <c r="S12"/>
  <c r="S24"/>
  <c r="T244" s="1"/>
  <c r="S101"/>
  <c r="T26"/>
  <c r="V20"/>
  <c r="W14"/>
  <c r="W46"/>
  <c r="W68"/>
  <c r="W74"/>
  <c r="W85"/>
  <c r="X24"/>
  <c r="Y244" s="1"/>
  <c r="X40"/>
  <c r="X46"/>
  <c r="X58"/>
  <c r="Y84"/>
  <c r="AA38"/>
  <c r="AA77"/>
  <c r="AB87"/>
  <c r="AH15"/>
  <c r="Z22"/>
  <c r="Z227" s="1"/>
  <c r="Z94"/>
  <c r="AA26"/>
  <c r="AB245" s="1"/>
  <c r="AA37"/>
  <c r="AA161" s="1"/>
  <c r="AA42"/>
  <c r="AB92"/>
  <c r="AB120" s="1"/>
  <c r="AC14"/>
  <c r="AC36"/>
  <c r="AC46"/>
  <c r="AC68"/>
  <c r="AC229" s="1"/>
  <c r="AD20"/>
  <c r="AD36"/>
  <c r="AD65"/>
  <c r="AD74"/>
  <c r="AD83"/>
  <c r="AD92"/>
  <c r="AD120" s="1"/>
  <c r="AD101"/>
  <c r="AE14"/>
  <c r="AE22"/>
  <c r="AE77"/>
  <c r="AE94"/>
  <c r="AF40"/>
  <c r="AF58"/>
  <c r="AG42"/>
  <c r="AG72"/>
  <c r="AH253" s="1"/>
  <c r="AG81"/>
  <c r="AG99"/>
  <c r="AH123" s="1"/>
  <c r="AH12"/>
  <c r="AH36"/>
  <c r="AH65"/>
  <c r="AI22"/>
  <c r="AI38"/>
  <c r="AI46"/>
  <c r="AI68"/>
  <c r="AI229" s="1"/>
  <c r="AI94"/>
  <c r="AJ16"/>
  <c r="AJ24"/>
  <c r="AK244" s="1"/>
  <c r="AJ32"/>
  <c r="AJ40"/>
  <c r="AJ58"/>
  <c r="AJ87"/>
  <c r="AJ96"/>
  <c r="AK18"/>
  <c r="AK26"/>
  <c r="AK148" s="1"/>
  <c r="AK34"/>
  <c r="AL20"/>
  <c r="U104"/>
  <c r="V13"/>
  <c r="V25"/>
  <c r="V33"/>
  <c r="W15"/>
  <c r="W19"/>
  <c r="W224" s="1"/>
  <c r="W23"/>
  <c r="X243" s="1"/>
  <c r="W69"/>
  <c r="X251" s="1"/>
  <c r="W73"/>
  <c r="W78"/>
  <c r="W82"/>
  <c r="W86"/>
  <c r="X248" s="1"/>
  <c r="W91"/>
  <c r="W95"/>
  <c r="W100"/>
  <c r="W104"/>
  <c r="X13"/>
  <c r="X17"/>
  <c r="X25"/>
  <c r="X33"/>
  <c r="X37"/>
  <c r="X41"/>
  <c r="X163" s="1"/>
  <c r="X45"/>
  <c r="X49"/>
  <c r="X66"/>
  <c r="X71"/>
  <c r="X75"/>
  <c r="X156" s="1"/>
  <c r="X84"/>
  <c r="X88"/>
  <c r="X93"/>
  <c r="X102"/>
  <c r="Y11"/>
  <c r="Z234" s="1"/>
  <c r="Y15"/>
  <c r="Y23"/>
  <c r="Z243" s="1"/>
  <c r="Y35"/>
  <c r="Y73"/>
  <c r="Y82"/>
  <c r="Y86"/>
  <c r="Z33"/>
  <c r="Z49"/>
  <c r="Z66"/>
  <c r="Z134" s="1"/>
  <c r="Z80"/>
  <c r="AA238" s="1"/>
  <c r="Z84"/>
  <c r="Z88"/>
  <c r="Z93"/>
  <c r="Z98"/>
  <c r="Z102"/>
  <c r="AA11"/>
  <c r="AA130" s="1"/>
  <c r="AA15"/>
  <c r="AA20"/>
  <c r="AA132" s="1"/>
  <c r="AA46"/>
  <c r="AA68"/>
  <c r="AB250" s="1"/>
  <c r="AA85"/>
  <c r="AB40"/>
  <c r="AB96"/>
  <c r="AC18"/>
  <c r="AD236" s="1"/>
  <c r="AC34"/>
  <c r="AC72"/>
  <c r="AD253"/>
  <c r="AG41"/>
  <c r="AG163" s="1"/>
  <c r="AK17"/>
  <c r="AA19"/>
  <c r="AA23"/>
  <c r="AB243" s="1"/>
  <c r="AA27"/>
  <c r="AB246" s="1"/>
  <c r="AA31"/>
  <c r="AA35"/>
  <c r="AA43"/>
  <c r="AA69"/>
  <c r="AB251" s="1"/>
  <c r="AA73"/>
  <c r="AA86"/>
  <c r="AB248" s="1"/>
  <c r="AA91"/>
  <c r="AA95"/>
  <c r="AA100"/>
  <c r="AB25"/>
  <c r="AB45"/>
  <c r="AB66"/>
  <c r="AB80"/>
  <c r="AB88"/>
  <c r="AB93"/>
  <c r="AB98"/>
  <c r="AB102"/>
  <c r="AC11"/>
  <c r="AC174" s="1"/>
  <c r="AC15"/>
  <c r="AC127" s="1"/>
  <c r="AC19"/>
  <c r="AD237" s="1"/>
  <c r="AC27"/>
  <c r="AD246" s="1"/>
  <c r="AC31"/>
  <c r="AC35"/>
  <c r="AC43"/>
  <c r="AC82"/>
  <c r="AC91"/>
  <c r="AD17"/>
  <c r="AD25"/>
  <c r="AD33"/>
  <c r="AD37"/>
  <c r="AD41"/>
  <c r="AD45"/>
  <c r="AD49"/>
  <c r="AD66"/>
  <c r="AD71"/>
  <c r="AE252" s="1"/>
  <c r="AD75"/>
  <c r="AD80"/>
  <c r="AD84"/>
  <c r="AD139" s="1"/>
  <c r="AD88"/>
  <c r="AD93"/>
  <c r="AD98"/>
  <c r="AD102"/>
  <c r="AE11"/>
  <c r="AE15"/>
  <c r="AE19"/>
  <c r="AE43"/>
  <c r="AE69"/>
  <c r="AF251" s="1"/>
  <c r="AE78"/>
  <c r="AE91"/>
  <c r="AE95"/>
  <c r="AE100"/>
  <c r="AF17"/>
  <c r="AF25"/>
  <c r="AF37"/>
  <c r="AF45"/>
  <c r="AF93"/>
  <c r="AG11"/>
  <c r="AG23"/>
  <c r="AG43"/>
  <c r="AG69"/>
  <c r="AH251" s="1"/>
  <c r="AG73"/>
  <c r="AG78"/>
  <c r="AG82"/>
  <c r="AG95"/>
  <c r="AG100"/>
  <c r="AG104"/>
  <c r="AH13"/>
  <c r="AH33"/>
  <c r="AH80"/>
  <c r="AI238" s="1"/>
  <c r="AH84"/>
  <c r="AH88"/>
  <c r="AH102"/>
  <c r="AI15"/>
  <c r="AI19"/>
  <c r="AJ237" s="1"/>
  <c r="AI35"/>
  <c r="AI86"/>
  <c r="AI91"/>
  <c r="AI95"/>
  <c r="AJ25"/>
  <c r="AJ33"/>
  <c r="AJ37"/>
  <c r="AJ41"/>
  <c r="AJ45"/>
  <c r="AJ49"/>
  <c r="AJ66"/>
  <c r="AJ71"/>
  <c r="AK252" s="1"/>
  <c r="AJ80"/>
  <c r="AK238" s="1"/>
  <c r="AJ84"/>
  <c r="AJ88"/>
  <c r="AJ93"/>
  <c r="AJ98"/>
  <c r="AJ165" s="1"/>
  <c r="AJ102"/>
  <c r="AK11"/>
  <c r="AK15"/>
  <c r="AK19"/>
  <c r="AL237" s="1"/>
  <c r="AK23"/>
  <c r="AK27"/>
  <c r="AL246" s="1"/>
  <c r="AK31"/>
  <c r="AK35"/>
  <c r="AK43"/>
  <c r="AK73"/>
  <c r="AK82"/>
  <c r="AK100"/>
  <c r="AK104"/>
  <c r="AL17"/>
  <c r="AL33"/>
  <c r="AL71"/>
  <c r="AL93"/>
  <c r="AD46"/>
  <c r="AE12"/>
  <c r="AE101"/>
  <c r="AG40"/>
  <c r="AG164" s="1"/>
  <c r="AJ14"/>
  <c r="AJ81"/>
  <c r="AK32"/>
  <c r="AK158" s="1"/>
  <c r="AL34"/>
  <c r="AA174"/>
  <c r="L164"/>
  <c r="AE238"/>
  <c r="M224"/>
  <c r="AG130" i="12"/>
  <c r="AH230"/>
  <c r="O229"/>
  <c r="K224"/>
  <c r="L159"/>
  <c r="L157"/>
  <c r="M217"/>
  <c r="M126"/>
  <c r="N119"/>
  <c r="S122"/>
  <c r="H248"/>
  <c r="AI166"/>
  <c r="N151"/>
  <c r="P230"/>
  <c r="R118"/>
  <c r="U239"/>
  <c r="AC193"/>
  <c r="AC181"/>
  <c r="AC190"/>
  <c r="AC182"/>
  <c r="AC198"/>
  <c r="AC196"/>
  <c r="AC199"/>
  <c r="AC183"/>
  <c r="AC188"/>
  <c r="AC55"/>
  <c r="AC195"/>
  <c r="AC197"/>
  <c r="AC189"/>
  <c r="AC214"/>
  <c r="AC201" s="1"/>
  <c r="AD228"/>
  <c r="AC191"/>
  <c r="AC192"/>
  <c r="AC180"/>
  <c r="AC194"/>
  <c r="S164"/>
  <c r="AA188"/>
  <c r="AA189"/>
  <c r="AA182"/>
  <c r="AA190"/>
  <c r="AA191"/>
  <c r="AA196"/>
  <c r="AA194"/>
  <c r="AA183"/>
  <c r="AA214"/>
  <c r="AA203" s="1"/>
  <c r="AA192"/>
  <c r="AA181"/>
  <c r="AB228"/>
  <c r="AA193"/>
  <c r="AA195"/>
  <c r="AA199"/>
  <c r="AA198"/>
  <c r="AA197"/>
  <c r="AA180"/>
  <c r="AA55"/>
  <c r="AJ118"/>
  <c r="J240"/>
  <c r="M239"/>
  <c r="N162"/>
  <c r="N161"/>
  <c r="O237"/>
  <c r="R115"/>
  <c r="S224"/>
  <c r="T245"/>
  <c r="T159"/>
  <c r="T157"/>
  <c r="U126"/>
  <c r="W119"/>
  <c r="K156"/>
  <c r="S221"/>
  <c r="W230"/>
  <c r="X118"/>
  <c r="AD242"/>
  <c r="AD230"/>
  <c r="AD159"/>
  <c r="AF231"/>
  <c r="AE127"/>
  <c r="AE126"/>
  <c r="AK122"/>
  <c r="J119"/>
  <c r="J151"/>
  <c r="J161"/>
  <c r="J162"/>
  <c r="J129"/>
  <c r="J134"/>
  <c r="K222"/>
  <c r="K130"/>
  <c r="L230"/>
  <c r="M182"/>
  <c r="M214"/>
  <c r="M55"/>
  <c r="M180"/>
  <c r="M143"/>
  <c r="M166"/>
  <c r="M133"/>
  <c r="N118"/>
  <c r="P160"/>
  <c r="S242"/>
  <c r="R162"/>
  <c r="R161"/>
  <c r="R129"/>
  <c r="S237"/>
  <c r="R134"/>
  <c r="T230"/>
  <c r="S130"/>
  <c r="X242"/>
  <c r="X230"/>
  <c r="W130"/>
  <c r="Y166"/>
  <c r="AJ247"/>
  <c r="G233"/>
  <c r="L247"/>
  <c r="M156"/>
  <c r="S123"/>
  <c r="W194"/>
  <c r="W180"/>
  <c r="W198"/>
  <c r="W189"/>
  <c r="W182"/>
  <c r="W55"/>
  <c r="W191"/>
  <c r="W195"/>
  <c r="W190"/>
  <c r="W199"/>
  <c r="X228"/>
  <c r="W183"/>
  <c r="W197"/>
  <c r="W196"/>
  <c r="W214"/>
  <c r="W188"/>
  <c r="W193"/>
  <c r="W181"/>
  <c r="W192"/>
  <c r="W133"/>
  <c r="X192"/>
  <c r="X190"/>
  <c r="X194"/>
  <c r="Y224"/>
  <c r="AA239"/>
  <c r="AA126"/>
  <c r="AB231"/>
  <c r="AE239"/>
  <c r="AF248"/>
  <c r="AF162"/>
  <c r="AG222"/>
  <c r="AI189"/>
  <c r="AI198"/>
  <c r="AI197"/>
  <c r="AI191"/>
  <c r="AI195"/>
  <c r="AI182"/>
  <c r="AJ115"/>
  <c r="AL245"/>
  <c r="K239"/>
  <c r="J157"/>
  <c r="J159"/>
  <c r="K214"/>
  <c r="K215"/>
  <c r="K143"/>
  <c r="K133"/>
  <c r="L119"/>
  <c r="K138"/>
  <c r="L118"/>
  <c r="L151"/>
  <c r="M242"/>
  <c r="L161"/>
  <c r="L162"/>
  <c r="L129"/>
  <c r="M122"/>
  <c r="M222"/>
  <c r="M144"/>
  <c r="O239"/>
  <c r="N157"/>
  <c r="P129"/>
  <c r="P115"/>
  <c r="Q222"/>
  <c r="R230"/>
  <c r="S239"/>
  <c r="R159"/>
  <c r="R157"/>
  <c r="R160"/>
  <c r="S180"/>
  <c r="S116"/>
  <c r="S214"/>
  <c r="S181"/>
  <c r="S217"/>
  <c r="S126"/>
  <c r="S143"/>
  <c r="S166"/>
  <c r="T248"/>
  <c r="S133"/>
  <c r="T119"/>
  <c r="T118"/>
  <c r="T161"/>
  <c r="T162"/>
  <c r="T129"/>
  <c r="U237"/>
  <c r="T134"/>
  <c r="W237"/>
  <c r="X235"/>
  <c r="X110"/>
  <c r="X146"/>
  <c r="Y183"/>
  <c r="Y181"/>
  <c r="Y182"/>
  <c r="Y188"/>
  <c r="Y194"/>
  <c r="AA225"/>
  <c r="AA222"/>
  <c r="AB236"/>
  <c r="AB235"/>
  <c r="AA144"/>
  <c r="AA145"/>
  <c r="AK156"/>
  <c r="F238"/>
  <c r="H243"/>
  <c r="G220"/>
  <c r="H214"/>
  <c r="I125"/>
  <c r="I113"/>
  <c r="J220"/>
  <c r="J120"/>
  <c r="J58"/>
  <c r="K169"/>
  <c r="L246"/>
  <c r="K131"/>
  <c r="L243"/>
  <c r="L221"/>
  <c r="L220"/>
  <c r="L120"/>
  <c r="L158"/>
  <c r="L164"/>
  <c r="M247"/>
  <c r="M216"/>
  <c r="M169"/>
  <c r="M219"/>
  <c r="M142"/>
  <c r="N238"/>
  <c r="N243"/>
  <c r="N220"/>
  <c r="N120"/>
  <c r="N156"/>
  <c r="N158"/>
  <c r="O219"/>
  <c r="P238"/>
  <c r="Q247"/>
  <c r="Q233"/>
  <c r="Q219"/>
  <c r="R220"/>
  <c r="R120"/>
  <c r="R158"/>
  <c r="R165"/>
  <c r="S247"/>
  <c r="S233"/>
  <c r="T229"/>
  <c r="S125"/>
  <c r="S216"/>
  <c r="S169"/>
  <c r="S219"/>
  <c r="S141"/>
  <c r="S142"/>
  <c r="T238"/>
  <c r="T241"/>
  <c r="S153"/>
  <c r="T243"/>
  <c r="T120"/>
  <c r="T154"/>
  <c r="U247"/>
  <c r="U233"/>
  <c r="V238"/>
  <c r="V243"/>
  <c r="X248"/>
  <c r="X119"/>
  <c r="X142"/>
  <c r="X151"/>
  <c r="X150"/>
  <c r="Y242"/>
  <c r="X162"/>
  <c r="X161"/>
  <c r="X129"/>
  <c r="Y148"/>
  <c r="Z149"/>
  <c r="AA242"/>
  <c r="Z162"/>
  <c r="Z129"/>
  <c r="Z135"/>
  <c r="AA237"/>
  <c r="Z134"/>
  <c r="Z115"/>
  <c r="AA122"/>
  <c r="AB248"/>
  <c r="AC237"/>
  <c r="AD235"/>
  <c r="AC145"/>
  <c r="AC222"/>
  <c r="AC162"/>
  <c r="AE198"/>
  <c r="AE191"/>
  <c r="AE181"/>
  <c r="AE190"/>
  <c r="AE214"/>
  <c r="AE204" s="1"/>
  <c r="AE196"/>
  <c r="AE189"/>
  <c r="AF228"/>
  <c r="AE182"/>
  <c r="AE199"/>
  <c r="AE194"/>
  <c r="AE183"/>
  <c r="AE180"/>
  <c r="AE55"/>
  <c r="AE197"/>
  <c r="AE188"/>
  <c r="AE193"/>
  <c r="AE195"/>
  <c r="AE192"/>
  <c r="AE133"/>
  <c r="AH245"/>
  <c r="AG224"/>
  <c r="AJ248"/>
  <c r="AK242"/>
  <c r="AJ161"/>
  <c r="AJ162"/>
  <c r="AJ129"/>
  <c r="AJ134"/>
  <c r="AK237"/>
  <c r="AL235"/>
  <c r="AK222"/>
  <c r="AL236"/>
  <c r="F246"/>
  <c r="H237"/>
  <c r="H247"/>
  <c r="H219"/>
  <c r="H224"/>
  <c r="J242"/>
  <c r="J127"/>
  <c r="J170"/>
  <c r="J147"/>
  <c r="J223"/>
  <c r="K245"/>
  <c r="L117"/>
  <c r="K135"/>
  <c r="L181"/>
  <c r="L128"/>
  <c r="M231"/>
  <c r="L222"/>
  <c r="L196" s="1"/>
  <c r="M235"/>
  <c r="M245"/>
  <c r="M230"/>
  <c r="M149"/>
  <c r="M162"/>
  <c r="N181"/>
  <c r="N127"/>
  <c r="N222"/>
  <c r="N196" s="1"/>
  <c r="N224"/>
  <c r="P239"/>
  <c r="Q240"/>
  <c r="R181"/>
  <c r="R148"/>
  <c r="S230"/>
  <c r="R138"/>
  <c r="S152"/>
  <c r="S150"/>
  <c r="S163"/>
  <c r="S135"/>
  <c r="T215"/>
  <c r="T217"/>
  <c r="T146"/>
  <c r="U240"/>
  <c r="T130"/>
  <c r="V195"/>
  <c r="X245"/>
  <c r="W224"/>
  <c r="Y232"/>
  <c r="Y239"/>
  <c r="X159"/>
  <c r="X157"/>
  <c r="X224"/>
  <c r="AB242"/>
  <c r="AA150"/>
  <c r="AB230"/>
  <c r="AD240"/>
  <c r="AJ233"/>
  <c r="Z195"/>
  <c r="Z194"/>
  <c r="Z138"/>
  <c r="AA119"/>
  <c r="AA166"/>
  <c r="AB240"/>
  <c r="AA143"/>
  <c r="AB188"/>
  <c r="AB189"/>
  <c r="AB115"/>
  <c r="AC118"/>
  <c r="AC122"/>
  <c r="AC224"/>
  <c r="AD245"/>
  <c r="AD161"/>
  <c r="AD162"/>
  <c r="AD129"/>
  <c r="AD134"/>
  <c r="AE237"/>
  <c r="AD115"/>
  <c r="AE122"/>
  <c r="AE222"/>
  <c r="AF235"/>
  <c r="AE224"/>
  <c r="AG239"/>
  <c r="AG198"/>
  <c r="AG190"/>
  <c r="AG214"/>
  <c r="AG203" s="1"/>
  <c r="AG189"/>
  <c r="AH231"/>
  <c r="AG126"/>
  <c r="AH248"/>
  <c r="AG133"/>
  <c r="AH118"/>
  <c r="AH129"/>
  <c r="AI222"/>
  <c r="AI224"/>
  <c r="AJ159"/>
  <c r="AJ157"/>
  <c r="AJ160"/>
  <c r="AK193"/>
  <c r="AK180"/>
  <c r="AK182"/>
  <c r="AK55"/>
  <c r="AK194"/>
  <c r="AK189"/>
  <c r="AK188"/>
  <c r="AK190"/>
  <c r="AK181"/>
  <c r="AK214"/>
  <c r="AK203" s="1"/>
  <c r="AK198"/>
  <c r="AK197"/>
  <c r="AK195"/>
  <c r="AL228"/>
  <c r="AK192"/>
  <c r="AK183"/>
  <c r="AK196"/>
  <c r="AK199"/>
  <c r="AK191"/>
  <c r="AL231"/>
  <c r="AK126"/>
  <c r="AK143"/>
  <c r="AK166"/>
  <c r="AL240"/>
  <c r="AL119"/>
  <c r="AL163"/>
  <c r="AL115"/>
  <c r="W234"/>
  <c r="V120"/>
  <c r="W233"/>
  <c r="X229"/>
  <c r="X232"/>
  <c r="X241"/>
  <c r="X246"/>
  <c r="W131"/>
  <c r="X243"/>
  <c r="W136"/>
  <c r="X220"/>
  <c r="X212" s="1"/>
  <c r="Y234"/>
  <c r="X120"/>
  <c r="X121"/>
  <c r="X164"/>
  <c r="X58"/>
  <c r="Y247"/>
  <c r="Z229"/>
  <c r="Z232"/>
  <c r="Z238"/>
  <c r="Z120"/>
  <c r="Z59"/>
  <c r="Z132"/>
  <c r="AA233"/>
  <c r="AA169"/>
  <c r="AA110"/>
  <c r="AA125"/>
  <c r="AB229"/>
  <c r="AA216"/>
  <c r="AA158"/>
  <c r="AA224"/>
  <c r="AB245"/>
  <c r="AC218"/>
  <c r="AC126"/>
  <c r="AD231"/>
  <c r="AD239"/>
  <c r="AD248"/>
  <c r="AE139"/>
  <c r="AG59"/>
  <c r="AJ153"/>
  <c r="AK154"/>
  <c r="AL233"/>
  <c r="AA219"/>
  <c r="AB232"/>
  <c r="AA141"/>
  <c r="AB238"/>
  <c r="AB241"/>
  <c r="AA155"/>
  <c r="AB246"/>
  <c r="AB243"/>
  <c r="AC234"/>
  <c r="AB120"/>
  <c r="AD229"/>
  <c r="AC169"/>
  <c r="AD232"/>
  <c r="AC219"/>
  <c r="AD241"/>
  <c r="AC137"/>
  <c r="AD158"/>
  <c r="AD164"/>
  <c r="AE247"/>
  <c r="AE233"/>
  <c r="AD139"/>
  <c r="AE169"/>
  <c r="AF229"/>
  <c r="AF232"/>
  <c r="AE219"/>
  <c r="AG234"/>
  <c r="AF165"/>
  <c r="AG247"/>
  <c r="AG125"/>
  <c r="AG216"/>
  <c r="AG219"/>
  <c r="AH246"/>
  <c r="AH243"/>
  <c r="AI233"/>
  <c r="AI142"/>
  <c r="AJ243"/>
  <c r="AJ120"/>
  <c r="AJ154"/>
  <c r="AJ156"/>
  <c r="AJ59"/>
  <c r="AK247"/>
  <c r="AK233"/>
  <c r="AJ139"/>
  <c r="AL229"/>
  <c r="AK169"/>
  <c r="AK219"/>
  <c r="AL232"/>
  <c r="AL238"/>
  <c r="AL241"/>
  <c r="AK153"/>
  <c r="AL246"/>
  <c r="AL120"/>
  <c r="AL154"/>
  <c r="AD198"/>
  <c r="AD215"/>
  <c r="AE240"/>
  <c r="AD224"/>
  <c r="AE230"/>
  <c r="AD138"/>
  <c r="AF196"/>
  <c r="AF191"/>
  <c r="AF223"/>
  <c r="AG235"/>
  <c r="AG159"/>
  <c r="AH237"/>
  <c r="AG115"/>
  <c r="AH55"/>
  <c r="AI235"/>
  <c r="AI119"/>
  <c r="AJ242"/>
  <c r="AJ182"/>
  <c r="AJ193"/>
  <c r="AJ196"/>
  <c r="AK245"/>
  <c r="AJ224"/>
  <c r="AK118"/>
  <c r="AL239"/>
  <c r="AK163"/>
  <c r="AL188"/>
  <c r="AL55"/>
  <c r="AJ161" i="17"/>
  <c r="AA221"/>
  <c r="X134"/>
  <c r="J134"/>
  <c r="AC158"/>
  <c r="Z248"/>
  <c r="Y252"/>
  <c r="AJ162"/>
  <c r="AJ164"/>
  <c r="AJ39"/>
  <c r="AJ250"/>
  <c r="AF240"/>
  <c r="AE242"/>
  <c r="AD250"/>
  <c r="AA171"/>
  <c r="X164"/>
  <c r="AK247"/>
  <c r="AG229"/>
  <c r="X236"/>
  <c r="U147"/>
  <c r="AB240"/>
  <c r="R164"/>
  <c r="N235"/>
  <c r="M227"/>
  <c r="M153"/>
  <c r="T162"/>
  <c r="T164"/>
  <c r="T70"/>
  <c r="K138"/>
  <c r="W128"/>
  <c r="AF234"/>
  <c r="AA229"/>
  <c r="AL236"/>
  <c r="N248"/>
  <c r="AL250"/>
  <c r="AG135"/>
  <c r="AJ229"/>
  <c r="AE245"/>
  <c r="AH243"/>
  <c r="AJ141"/>
  <c r="AB234"/>
  <c r="W142"/>
  <c r="AL245"/>
  <c r="AK242"/>
  <c r="AC227"/>
  <c r="T243"/>
  <c r="S147"/>
  <c r="U242"/>
  <c r="T245"/>
  <c r="S171"/>
  <c r="S148"/>
  <c r="J39"/>
  <c r="AB236"/>
  <c r="AA131"/>
  <c r="J139"/>
  <c r="L162"/>
  <c r="AD144"/>
  <c r="R134"/>
  <c r="AK127"/>
  <c r="AC224"/>
  <c r="W229"/>
  <c r="X250"/>
  <c r="S224"/>
  <c r="M51"/>
  <c r="M252"/>
  <c r="AG162"/>
  <c r="AK51"/>
  <c r="AK174"/>
  <c r="AK10"/>
  <c r="AK185" s="1"/>
  <c r="AL234"/>
  <c r="AI224"/>
  <c r="AE224"/>
  <c r="AF237"/>
  <c r="AD234"/>
  <c r="AC51"/>
  <c r="AC10"/>
  <c r="AC56" s="1"/>
  <c r="AB237"/>
  <c r="AC131"/>
  <c r="AB235"/>
  <c r="N229"/>
  <c r="X155"/>
  <c r="U224"/>
  <c r="T248"/>
  <c r="T235"/>
  <c r="S135"/>
  <c r="R139"/>
  <c r="K229"/>
  <c r="AA127"/>
  <c r="S127"/>
  <c r="AG204" i="12"/>
  <c r="W205"/>
  <c r="W204"/>
  <c r="W206"/>
  <c r="W202"/>
  <c r="W201"/>
  <c r="W203"/>
  <c r="X210"/>
  <c r="X208"/>
  <c r="X207"/>
  <c r="X211"/>
  <c r="X209"/>
  <c r="AE202"/>
  <c r="AE203"/>
  <c r="AA204"/>
  <c r="AA205"/>
  <c r="AK202"/>
  <c r="AC205"/>
  <c r="AC206"/>
  <c r="AC202"/>
  <c r="AC203"/>
  <c r="O207"/>
  <c r="AK195" i="17"/>
  <c r="AK44"/>
  <c r="AK166" s="1"/>
  <c r="AK219"/>
  <c r="AK210" s="1"/>
  <c r="AK193"/>
  <c r="AC202"/>
  <c r="AC54"/>
  <c r="AC204"/>
  <c r="AK144" l="1"/>
  <c r="AG210" i="12"/>
  <c r="AG211"/>
  <c r="AJ158" i="17"/>
  <c r="AD138"/>
  <c r="H26"/>
  <c r="I245" s="1"/>
  <c r="I240" i="12"/>
  <c r="I159"/>
  <c r="I66" i="17"/>
  <c r="I164" s="1"/>
  <c r="J86"/>
  <c r="J221" i="12"/>
  <c r="K243"/>
  <c r="L11" i="17"/>
  <c r="L169" i="12"/>
  <c r="M229"/>
  <c r="L229"/>
  <c r="L110"/>
  <c r="L125"/>
  <c r="L142"/>
  <c r="M238"/>
  <c r="L23" i="17"/>
  <c r="L155" i="12"/>
  <c r="L35" i="17"/>
  <c r="L160" s="1"/>
  <c r="L137" i="12"/>
  <c r="M243"/>
  <c r="M116"/>
  <c r="M221"/>
  <c r="M195" s="1"/>
  <c r="M220"/>
  <c r="M234"/>
  <c r="N152"/>
  <c r="N86" i="17"/>
  <c r="O243" i="12"/>
  <c r="P23" i="17"/>
  <c r="P147" s="1"/>
  <c r="Q238" i="12"/>
  <c r="S241"/>
  <c r="R241"/>
  <c r="R27" i="17"/>
  <c r="S246" s="1"/>
  <c r="R155" i="12"/>
  <c r="R35" i="17"/>
  <c r="R160" s="1"/>
  <c r="R69"/>
  <c r="S246" i="12"/>
  <c r="S41" i="17"/>
  <c r="S162" s="1"/>
  <c r="S158" i="12"/>
  <c r="T35" i="17"/>
  <c r="T160" s="1"/>
  <c r="T155" i="12"/>
  <c r="T69" i="17"/>
  <c r="T251" s="1"/>
  <c r="T246" i="12"/>
  <c r="T78" i="17"/>
  <c r="T136" s="1"/>
  <c r="T131" i="12"/>
  <c r="U134"/>
  <c r="U84" i="17"/>
  <c r="W232" i="12"/>
  <c r="V19" i="17"/>
  <c r="W139" i="12"/>
  <c r="W25" i="17"/>
  <c r="W165" i="12"/>
  <c r="W49" i="17"/>
  <c r="W80"/>
  <c r="W215" i="12"/>
  <c r="X233"/>
  <c r="W217"/>
  <c r="X86" i="17"/>
  <c r="X157" s="1"/>
  <c r="X136" i="12"/>
  <c r="Z234"/>
  <c r="Y220"/>
  <c r="Y33" i="17"/>
  <c r="Y159" s="1"/>
  <c r="Y154" i="12"/>
  <c r="AA17" i="17"/>
  <c r="AA123" i="12"/>
  <c r="AA160"/>
  <c r="AA98" i="17"/>
  <c r="AC246" i="12"/>
  <c r="AB69" i="17"/>
  <c r="AC251" s="1"/>
  <c r="AC220" i="12"/>
  <c r="AC116"/>
  <c r="AD234"/>
  <c r="AC171"/>
  <c r="AC41" i="17"/>
  <c r="AC163" s="1"/>
  <c r="AC158" i="12"/>
  <c r="AC146"/>
  <c r="AC71" i="17"/>
  <c r="AD252" s="1"/>
  <c r="AE238" i="12"/>
  <c r="AD142"/>
  <c r="AD69" i="17"/>
  <c r="AE251" s="1"/>
  <c r="AE246" i="12"/>
  <c r="AD131"/>
  <c r="AD78" i="17"/>
  <c r="AD136" s="1"/>
  <c r="AE218" i="12"/>
  <c r="AE132"/>
  <c r="AE80" i="17"/>
  <c r="AE137" s="1"/>
  <c r="AF19"/>
  <c r="AG232" i="12"/>
  <c r="AG37" i="17"/>
  <c r="AG156" i="12"/>
  <c r="AI241"/>
  <c r="AH27" i="17"/>
  <c r="AI246" s="1"/>
  <c r="AI139" i="12"/>
  <c r="AI25" i="17"/>
  <c r="AI41"/>
  <c r="AI158" i="12"/>
  <c r="AL234"/>
  <c r="AK171"/>
  <c r="AK220"/>
  <c r="AK25" i="17"/>
  <c r="AK149" s="1"/>
  <c r="AK144" i="12"/>
  <c r="AK217"/>
  <c r="AK128"/>
  <c r="AL86" i="17"/>
  <c r="AL152" i="12"/>
  <c r="E26" i="17"/>
  <c r="E230" s="1"/>
  <c r="F240" i="12"/>
  <c r="G216"/>
  <c r="G11" i="17"/>
  <c r="G174" s="1"/>
  <c r="I243" i="12"/>
  <c r="H86" i="17"/>
  <c r="I248" s="1"/>
  <c r="J144" i="12"/>
  <c r="J145"/>
  <c r="J148"/>
  <c r="J222"/>
  <c r="J158"/>
  <c r="J42" i="17"/>
  <c r="J163" s="1"/>
  <c r="J46"/>
  <c r="J164" i="12"/>
  <c r="J68" i="17"/>
  <c r="I6" i="19"/>
  <c r="J72" i="17"/>
  <c r="J154" s="1"/>
  <c r="J149" i="12"/>
  <c r="K248"/>
  <c r="K87" i="17"/>
  <c r="K141" s="1"/>
  <c r="K136" i="12"/>
  <c r="M240"/>
  <c r="L26" i="17"/>
  <c r="L166" i="12"/>
  <c r="K6" i="19"/>
  <c r="L68" i="17"/>
  <c r="L245" i="12"/>
  <c r="L224"/>
  <c r="L198" s="1"/>
  <c r="M12" i="17"/>
  <c r="M129" s="1"/>
  <c r="M124" i="12"/>
  <c r="M20" i="17"/>
  <c r="M127" i="12"/>
  <c r="M170"/>
  <c r="N242"/>
  <c r="M152"/>
  <c r="M161"/>
  <c r="M163"/>
  <c r="N171"/>
  <c r="N214"/>
  <c r="N228"/>
  <c r="N55"/>
  <c r="N180"/>
  <c r="N18" i="17"/>
  <c r="N231" i="12"/>
  <c r="N240"/>
  <c r="N166"/>
  <c r="N34" i="17"/>
  <c r="N159" s="1"/>
  <c r="N154" i="12"/>
  <c r="N121"/>
  <c r="N46" i="17"/>
  <c r="N169" s="1"/>
  <c r="N164" i="12"/>
  <c r="P158"/>
  <c r="P42" i="17"/>
  <c r="Q230" i="12"/>
  <c r="P77" i="17"/>
  <c r="Q235" s="1"/>
  <c r="R239" i="12"/>
  <c r="Q24" i="17"/>
  <c r="R244" s="1"/>
  <c r="R222" i="12"/>
  <c r="R145"/>
  <c r="R22" i="17"/>
  <c r="R152" s="1"/>
  <c r="S245" i="12"/>
  <c r="R224"/>
  <c r="S198" s="1"/>
  <c r="R99" i="17"/>
  <c r="S123" s="1"/>
  <c r="R163" i="12"/>
  <c r="S118"/>
  <c r="S40" i="17"/>
  <c r="S165" s="1"/>
  <c r="S157" i="12"/>
  <c r="S160"/>
  <c r="T38" i="17"/>
  <c r="T161" s="1"/>
  <c r="T156" i="12"/>
  <c r="K14" i="19"/>
  <c r="T224" i="12"/>
  <c r="U198" s="1"/>
  <c r="U245"/>
  <c r="T163"/>
  <c r="T99" i="17"/>
  <c r="U123" s="1"/>
  <c r="U24"/>
  <c r="V244" s="1"/>
  <c r="V239" i="12"/>
  <c r="V218"/>
  <c r="W231"/>
  <c r="W248"/>
  <c r="V72" i="17"/>
  <c r="W253" s="1"/>
  <c r="W28"/>
  <c r="X247" s="1"/>
  <c r="W150" i="12"/>
  <c r="W151"/>
  <c r="W149"/>
  <c r="W134"/>
  <c r="W83" i="17"/>
  <c r="W135" i="12"/>
  <c r="W92" i="17"/>
  <c r="W120" s="1"/>
  <c r="W138" i="12"/>
  <c r="X14" i="17"/>
  <c r="X129" s="1"/>
  <c r="X122" i="12"/>
  <c r="X145"/>
  <c r="Y235"/>
  <c r="X222"/>
  <c r="X147"/>
  <c r="Y236"/>
  <c r="X170"/>
  <c r="X144"/>
  <c r="X22" i="17"/>
  <c r="X175" s="1"/>
  <c r="X148" i="12"/>
  <c r="Y28" i="17"/>
  <c r="Y155" s="1"/>
  <c r="Z242" i="12"/>
  <c r="Z18" i="17"/>
  <c r="Z133" s="1"/>
  <c r="Z217" i="12"/>
  <c r="AA245"/>
  <c r="Z68" i="17"/>
  <c r="AA250" s="1"/>
  <c r="Z81"/>
  <c r="Z137" s="1"/>
  <c r="Z133" i="12"/>
  <c r="AA40" i="17"/>
  <c r="AA164" s="1"/>
  <c r="AA157" i="12"/>
  <c r="AA159"/>
  <c r="AB237"/>
  <c r="AA223"/>
  <c r="AC240"/>
  <c r="AB166"/>
  <c r="AC119"/>
  <c r="AB138"/>
  <c r="AC170"/>
  <c r="AC28" i="17"/>
  <c r="AC83"/>
  <c r="AD237" i="12"/>
  <c r="AC92" i="17"/>
  <c r="AC120" s="1"/>
  <c r="AC115" i="12"/>
  <c r="AD148"/>
  <c r="AD22" i="17"/>
  <c r="AD223" i="12"/>
  <c r="AD34" i="17"/>
  <c r="AD159" s="1"/>
  <c r="AD154" i="12"/>
  <c r="AE131"/>
  <c r="AE79" i="17"/>
  <c r="AE136" s="1"/>
  <c r="AE83"/>
  <c r="AF242" s="1"/>
  <c r="AF237" i="12"/>
  <c r="AG228"/>
  <c r="AF190"/>
  <c r="AG248"/>
  <c r="AF72" i="17"/>
  <c r="AF154" s="1"/>
  <c r="AG79"/>
  <c r="AG136" s="1"/>
  <c r="AG131" i="12"/>
  <c r="AG83" i="17"/>
  <c r="AH242" s="1"/>
  <c r="AG134" i="12"/>
  <c r="AG96" i="17"/>
  <c r="AG148" i="12"/>
  <c r="AH199"/>
  <c r="AH181"/>
  <c r="AH26" i="17"/>
  <c r="AI240" i="12"/>
  <c r="AH224"/>
  <c r="AH68" i="17"/>
  <c r="AI24"/>
  <c r="AJ244" s="1"/>
  <c r="AJ239" i="12"/>
  <c r="AJ34" i="17"/>
  <c r="AJ121" i="12"/>
  <c r="AJ158"/>
  <c r="AJ42" i="17"/>
  <c r="AJ99"/>
  <c r="AK123" s="1"/>
  <c r="AJ163" i="12"/>
  <c r="L132" i="17"/>
  <c r="AC59"/>
  <c r="S174"/>
  <c r="AJ122" i="12"/>
  <c r="AK158"/>
  <c r="AK243"/>
  <c r="AH247"/>
  <c r="AE232"/>
  <c r="AC160"/>
  <c r="AA58"/>
  <c r="W140"/>
  <c r="Z137"/>
  <c r="W246"/>
  <c r="N182"/>
  <c r="L55"/>
  <c r="J130"/>
  <c r="L150"/>
  <c r="N153"/>
  <c r="Y241"/>
  <c r="M171"/>
  <c r="AJ35" i="17"/>
  <c r="AJ160" s="1"/>
  <c r="AB100"/>
  <c r="AB145" s="1"/>
  <c r="J169"/>
  <c r="O71"/>
  <c r="P252" s="1"/>
  <c r="L19"/>
  <c r="L224" s="1"/>
  <c r="Y80"/>
  <c r="Z238" s="1"/>
  <c r="R155"/>
  <c r="S37"/>
  <c r="I33"/>
  <c r="I159" s="1"/>
  <c r="J132"/>
  <c r="L127"/>
  <c r="R117" i="12"/>
  <c r="T143"/>
  <c r="V122"/>
  <c r="AC161"/>
  <c r="AG157"/>
  <c r="AC57" i="17"/>
  <c r="AC219"/>
  <c r="AC208" s="1"/>
  <c r="AC64"/>
  <c r="AC197"/>
  <c r="AK56"/>
  <c r="AK54"/>
  <c r="AK206" i="12"/>
  <c r="AE205"/>
  <c r="J152" i="17"/>
  <c r="M174"/>
  <c r="AD135"/>
  <c r="AA240"/>
  <c r="M162"/>
  <c r="M139"/>
  <c r="AL197" i="12"/>
  <c r="AK129"/>
  <c r="AL242"/>
  <c r="AJ138"/>
  <c r="AJ191"/>
  <c r="AI115"/>
  <c r="AI230"/>
  <c r="AH188"/>
  <c r="AH239"/>
  <c r="AF198"/>
  <c r="AE119"/>
  <c r="AE248"/>
  <c r="AD170"/>
  <c r="AK155"/>
  <c r="AK141"/>
  <c r="AJ164"/>
  <c r="AJ221"/>
  <c r="AH154"/>
  <c r="AD121"/>
  <c r="AK165"/>
  <c r="AJ136"/>
  <c r="AD155"/>
  <c r="X156"/>
  <c r="AD150"/>
  <c r="Z147"/>
  <c r="AK164"/>
  <c r="AH234"/>
  <c r="AA129"/>
  <c r="W132"/>
  <c r="V133"/>
  <c r="T166"/>
  <c r="T223"/>
  <c r="S159"/>
  <c r="S173"/>
  <c r="R143"/>
  <c r="N116"/>
  <c r="M157"/>
  <c r="L225"/>
  <c r="J133"/>
  <c r="J146"/>
  <c r="AJ149"/>
  <c r="AB142"/>
  <c r="Y152"/>
  <c r="W127"/>
  <c r="T164"/>
  <c r="S137"/>
  <c r="S194"/>
  <c r="N209"/>
  <c r="N241"/>
  <c r="J132"/>
  <c r="AC139"/>
  <c r="X225"/>
  <c r="X247"/>
  <c r="T125"/>
  <c r="L219"/>
  <c r="M193" s="1"/>
  <c r="W152"/>
  <c r="J152"/>
  <c r="N219"/>
  <c r="Y243"/>
  <c r="AL68" i="17"/>
  <c r="AL229" s="1"/>
  <c r="AJ85"/>
  <c r="AJ140" s="1"/>
  <c r="AF18"/>
  <c r="AD68"/>
  <c r="AI66"/>
  <c r="AB68"/>
  <c r="AC250" s="1"/>
  <c r="AC75"/>
  <c r="T68"/>
  <c r="T229" s="1"/>
  <c r="R68"/>
  <c r="R229" s="1"/>
  <c r="P22"/>
  <c r="N26"/>
  <c r="K101"/>
  <c r="K145" s="1"/>
  <c r="J77"/>
  <c r="K235" s="1"/>
  <c r="AC33"/>
  <c r="AA159"/>
  <c r="AJ27"/>
  <c r="AK246" s="1"/>
  <c r="E10"/>
  <c r="E219" s="1"/>
  <c r="F206" s="1"/>
  <c r="V11"/>
  <c r="W234" s="1"/>
  <c r="O80"/>
  <c r="P238" s="1"/>
  <c r="L27"/>
  <c r="M246" s="1"/>
  <c r="J27"/>
  <c r="J171" s="1"/>
  <c r="F247" i="12"/>
  <c r="E71" i="17"/>
  <c r="F252" s="1"/>
  <c r="H238" i="12"/>
  <c r="G238"/>
  <c r="F23" i="17"/>
  <c r="I80"/>
  <c r="J233" i="12"/>
  <c r="J142"/>
  <c r="J23" i="17"/>
  <c r="J141" i="12"/>
  <c r="J31" i="17"/>
  <c r="J30" s="1"/>
  <c r="J153" i="12"/>
  <c r="J35" i="17"/>
  <c r="J160" s="1"/>
  <c r="J155" i="12"/>
  <c r="J91" i="17"/>
  <c r="J128" s="1"/>
  <c r="J123" i="12"/>
  <c r="K58"/>
  <c r="K59"/>
  <c r="K247"/>
  <c r="K71" i="17"/>
  <c r="K217" i="12"/>
  <c r="K132"/>
  <c r="K80" i="17"/>
  <c r="L238" s="1"/>
  <c r="L233" i="12"/>
  <c r="K233"/>
  <c r="K88" i="17"/>
  <c r="K142" s="1"/>
  <c r="K137" i="12"/>
  <c r="K93" i="17"/>
  <c r="K144" s="1"/>
  <c r="K139" i="12"/>
  <c r="L78" i="17"/>
  <c r="L131" i="12"/>
  <c r="M17" i="17"/>
  <c r="M128" s="1"/>
  <c r="M123" i="12"/>
  <c r="M33" i="17"/>
  <c r="M154" i="12"/>
  <c r="M110"/>
  <c r="M45" i="17"/>
  <c r="M164" i="12"/>
  <c r="M59"/>
  <c r="M58"/>
  <c r="M128"/>
  <c r="M132"/>
  <c r="M80" i="17"/>
  <c r="M218" i="12"/>
  <c r="N192" s="1"/>
  <c r="N169"/>
  <c r="N110"/>
  <c r="N125"/>
  <c r="N229"/>
  <c r="N124"/>
  <c r="O238"/>
  <c r="N141"/>
  <c r="N23" i="17"/>
  <c r="O243" s="1"/>
  <c r="N123" i="12"/>
  <c r="N91" i="17"/>
  <c r="O164" i="12"/>
  <c r="O45" i="17"/>
  <c r="O160" i="12"/>
  <c r="O98" i="17"/>
  <c r="P152" i="12"/>
  <c r="P86" i="17"/>
  <c r="Q248" s="1"/>
  <c r="Q146" i="12"/>
  <c r="Q71" i="17"/>
  <c r="R252" s="1"/>
  <c r="R247" i="12"/>
  <c r="Q80" i="17"/>
  <c r="Q223" s="1"/>
  <c r="Q218" i="12"/>
  <c r="R19" i="17"/>
  <c r="R224" s="1"/>
  <c r="S232" i="12"/>
  <c r="R219"/>
  <c r="S193" s="1"/>
  <c r="S238"/>
  <c r="R141"/>
  <c r="R31" i="17"/>
  <c r="R30" s="1"/>
  <c r="R153" i="12"/>
  <c r="R131"/>
  <c r="R78" i="17"/>
  <c r="R136" s="1"/>
  <c r="R136" i="12"/>
  <c r="R137"/>
  <c r="R86" i="17"/>
  <c r="S248" s="1"/>
  <c r="R100"/>
  <c r="R145" s="1"/>
  <c r="R140" i="12"/>
  <c r="S120"/>
  <c r="S121"/>
  <c r="S33" i="17"/>
  <c r="S159" s="1"/>
  <c r="S154" i="12"/>
  <c r="S165"/>
  <c r="S49" i="17"/>
  <c r="S71"/>
  <c r="T252" s="1"/>
  <c r="S146" i="12"/>
  <c r="S139"/>
  <c r="S93" i="17"/>
  <c r="S144" s="1"/>
  <c r="T31"/>
  <c r="T158" s="1"/>
  <c r="T153" i="12"/>
  <c r="T86" i="17"/>
  <c r="U248" s="1"/>
  <c r="U243" i="12"/>
  <c r="U220"/>
  <c r="V234"/>
  <c r="U128"/>
  <c r="U80" i="17"/>
  <c r="W220" i="12"/>
  <c r="X234"/>
  <c r="X124"/>
  <c r="X169"/>
  <c r="X216"/>
  <c r="Y229"/>
  <c r="X19" i="17"/>
  <c r="X219" i="12"/>
  <c r="X23" i="17"/>
  <c r="X141" i="12"/>
  <c r="X31" i="17"/>
  <c r="X30" s="1"/>
  <c r="X153" i="12"/>
  <c r="X35" i="17"/>
  <c r="X155" i="12"/>
  <c r="Y246"/>
  <c r="X69" i="17"/>
  <c r="Y251" s="1"/>
  <c r="X123" i="12"/>
  <c r="X91" i="17"/>
  <c r="Z125" i="12"/>
  <c r="AA229"/>
  <c r="Z219"/>
  <c r="Z19" i="17"/>
  <c r="AA232" i="12"/>
  <c r="Z141"/>
  <c r="Z142"/>
  <c r="Z86" i="17"/>
  <c r="Z157" s="1"/>
  <c r="AA243" i="12"/>
  <c r="Z140"/>
  <c r="Z100" i="17"/>
  <c r="AA116" i="12"/>
  <c r="AA220"/>
  <c r="AA171"/>
  <c r="AA120"/>
  <c r="AA121"/>
  <c r="AA45" i="17"/>
  <c r="AA169" s="1"/>
  <c r="AA164" i="12"/>
  <c r="AA146"/>
  <c r="AA71" i="17"/>
  <c r="AB247" i="12"/>
  <c r="AA215"/>
  <c r="AA80" i="17"/>
  <c r="AB86"/>
  <c r="AB141" s="1"/>
  <c r="AB152" i="12"/>
  <c r="AB137"/>
  <c r="AD137"/>
  <c r="AD86" i="17"/>
  <c r="AD136" i="12"/>
  <c r="AF122"/>
  <c r="AF15" i="17"/>
  <c r="AG45"/>
  <c r="AG169" s="1"/>
  <c r="AG164" i="12"/>
  <c r="AG49" i="17"/>
  <c r="AG165" i="12"/>
  <c r="AG132"/>
  <c r="AG215"/>
  <c r="AG160"/>
  <c r="AG98" i="17"/>
  <c r="AI238" i="12"/>
  <c r="AH23" i="17"/>
  <c r="AI243" s="1"/>
  <c r="AH141" i="12"/>
  <c r="AH78" i="17"/>
  <c r="AH131" i="12"/>
  <c r="AK246"/>
  <c r="AJ69" i="17"/>
  <c r="AK251" s="1"/>
  <c r="AK121" i="12"/>
  <c r="AK120"/>
  <c r="AL219"/>
  <c r="AL19" i="17"/>
  <c r="AL224" s="1"/>
  <c r="F22"/>
  <c r="F170" i="12"/>
  <c r="F27" i="17"/>
  <c r="G246" s="1"/>
  <c r="G241" i="12"/>
  <c r="I155"/>
  <c r="I36" i="17"/>
  <c r="I160" s="1"/>
  <c r="J14"/>
  <c r="J122" i="12"/>
  <c r="J18" i="17"/>
  <c r="J217" i="12"/>
  <c r="K191" s="1"/>
  <c r="K231"/>
  <c r="J26" i="17"/>
  <c r="J166" i="12"/>
  <c r="K240"/>
  <c r="J34" i="17"/>
  <c r="J159" s="1"/>
  <c r="J121" i="12"/>
  <c r="J154"/>
  <c r="J85" i="17"/>
  <c r="J140" s="1"/>
  <c r="J135" i="12"/>
  <c r="J163"/>
  <c r="K118"/>
  <c r="J99" i="17"/>
  <c r="K127" i="12"/>
  <c r="K20" i="17"/>
  <c r="K150" i="12"/>
  <c r="K242"/>
  <c r="K65" i="17"/>
  <c r="K129" i="12"/>
  <c r="L237"/>
  <c r="K83" i="17"/>
  <c r="L242" s="1"/>
  <c r="K237" i="12"/>
  <c r="K92" i="17"/>
  <c r="K120" s="1"/>
  <c r="K115" i="12"/>
  <c r="L180"/>
  <c r="L214"/>
  <c r="L201" s="1"/>
  <c r="L171"/>
  <c r="M228"/>
  <c r="L182"/>
  <c r="L18" i="17"/>
  <c r="L231" i="12"/>
  <c r="L127"/>
  <c r="L126"/>
  <c r="L235"/>
  <c r="L144"/>
  <c r="L170"/>
  <c r="L147"/>
  <c r="L146"/>
  <c r="L34" i="17"/>
  <c r="L159" s="1"/>
  <c r="L154" i="12"/>
  <c r="L38" i="17"/>
  <c r="L161" s="1"/>
  <c r="L156" i="12"/>
  <c r="L72" i="17"/>
  <c r="L248" i="12"/>
  <c r="L149"/>
  <c r="M248"/>
  <c r="M119"/>
  <c r="L165"/>
  <c r="M173"/>
  <c r="M24" i="17"/>
  <c r="N244" s="1"/>
  <c r="M141" i="12"/>
  <c r="M36" i="17"/>
  <c r="M160" s="1"/>
  <c r="M155" i="12"/>
  <c r="M79" i="17"/>
  <c r="M136" s="1"/>
  <c r="M131" i="12"/>
  <c r="M223"/>
  <c r="M135"/>
  <c r="M147"/>
  <c r="N237"/>
  <c r="M87" i="17"/>
  <c r="M136" i="12"/>
  <c r="M92" i="17"/>
  <c r="M120" s="1"/>
  <c r="M138" i="12"/>
  <c r="M140"/>
  <c r="M101" i="17"/>
  <c r="M145" s="1"/>
  <c r="N14"/>
  <c r="N127" s="1"/>
  <c r="N122" i="12"/>
  <c r="N236"/>
  <c r="N22" i="17"/>
  <c r="N147" i="12"/>
  <c r="N144"/>
  <c r="N148"/>
  <c r="N149"/>
  <c r="N72" i="17"/>
  <c r="O253" s="1"/>
  <c r="N77"/>
  <c r="O230" i="12"/>
  <c r="N81" i="17"/>
  <c r="N137" s="1"/>
  <c r="N133" i="12"/>
  <c r="O119"/>
  <c r="N165"/>
  <c r="O148"/>
  <c r="O96" i="17"/>
  <c r="O153" s="1"/>
  <c r="P149" i="12"/>
  <c r="Q248"/>
  <c r="R154"/>
  <c r="R34" i="17"/>
  <c r="R38"/>
  <c r="R156" i="12"/>
  <c r="R77" i="17"/>
  <c r="S235" s="1"/>
  <c r="R130" i="12"/>
  <c r="R133"/>
  <c r="R132"/>
  <c r="R135"/>
  <c r="R85" i="17"/>
  <c r="R140" s="1"/>
  <c r="R173" i="12"/>
  <c r="R94" i="17"/>
  <c r="S149" i="12"/>
  <c r="S28" i="17"/>
  <c r="S154" s="1"/>
  <c r="S151" i="12"/>
  <c r="S65" i="17"/>
  <c r="S129" i="12"/>
  <c r="S83" i="17"/>
  <c r="T237" i="12"/>
  <c r="S87" i="17"/>
  <c r="S141" s="1"/>
  <c r="S136" i="12"/>
  <c r="S92" i="17"/>
  <c r="S120" s="1"/>
  <c r="S115" i="12"/>
  <c r="T228"/>
  <c r="T214"/>
  <c r="T201" s="1"/>
  <c r="U228"/>
  <c r="T22" i="17"/>
  <c r="T145" i="12"/>
  <c r="T144"/>
  <c r="T147"/>
  <c r="T121"/>
  <c r="T34" i="17"/>
  <c r="T159" s="1"/>
  <c r="T42"/>
  <c r="T163" s="1"/>
  <c r="T158" i="12"/>
  <c r="T81" i="17"/>
  <c r="T133" i="12"/>
  <c r="V193"/>
  <c r="V183"/>
  <c r="V190"/>
  <c r="V99" i="17"/>
  <c r="W123" s="1"/>
  <c r="W118" i="12"/>
  <c r="W24" i="17"/>
  <c r="X244" s="1"/>
  <c r="X239" i="12"/>
  <c r="W141"/>
  <c r="W65" i="17"/>
  <c r="W134" s="1"/>
  <c r="W129" i="12"/>
  <c r="W96" i="17"/>
  <c r="W148" i="12"/>
  <c r="X197"/>
  <c r="X182"/>
  <c r="X180"/>
  <c r="X55"/>
  <c r="X189"/>
  <c r="X116"/>
  <c r="X193"/>
  <c r="X171"/>
  <c r="X195"/>
  <c r="X183"/>
  <c r="Y228"/>
  <c r="X198"/>
  <c r="X214"/>
  <c r="X203" s="1"/>
  <c r="X199"/>
  <c r="X181"/>
  <c r="X188"/>
  <c r="X18" i="17"/>
  <c r="X132" s="1"/>
  <c r="X127" i="12"/>
  <c r="X166"/>
  <c r="X26" i="17"/>
  <c r="X143" i="12"/>
  <c r="Y240"/>
  <c r="X34" i="17"/>
  <c r="X154" i="12"/>
  <c r="X68" i="17"/>
  <c r="Y245" i="12"/>
  <c r="X72" i="17"/>
  <c r="Y253" s="1"/>
  <c r="X149" i="12"/>
  <c r="Y248"/>
  <c r="Y83" i="17"/>
  <c r="Z242" s="1"/>
  <c r="Y147" i="12"/>
  <c r="Z180"/>
  <c r="AA228"/>
  <c r="Z183"/>
  <c r="Z72" i="17"/>
  <c r="AA253" s="1"/>
  <c r="AA248" i="12"/>
  <c r="Z99" i="17"/>
  <c r="AA123" s="1"/>
  <c r="AA118" i="12"/>
  <c r="AA24" i="17"/>
  <c r="AB239" i="12"/>
  <c r="AA28" i="17"/>
  <c r="AA155" s="1"/>
  <c r="AA170" i="12"/>
  <c r="AA151"/>
  <c r="AA152"/>
  <c r="AA161"/>
  <c r="AA162"/>
  <c r="AA79" i="17"/>
  <c r="AA131" i="12"/>
  <c r="AB194"/>
  <c r="AB182"/>
  <c r="AB192"/>
  <c r="AB55"/>
  <c r="AB72" i="17"/>
  <c r="AC253" s="1"/>
  <c r="AC248" i="12"/>
  <c r="AB94" i="17"/>
  <c r="AB173" i="12"/>
  <c r="AC40" i="17"/>
  <c r="AC159" i="12"/>
  <c r="AD197"/>
  <c r="AD191"/>
  <c r="AD132"/>
  <c r="AD133"/>
  <c r="AD81" i="17"/>
  <c r="AD137" s="1"/>
  <c r="AD85"/>
  <c r="AD140" s="1"/>
  <c r="AD135" i="12"/>
  <c r="AF158"/>
  <c r="AF42" i="17"/>
  <c r="AG230" i="12"/>
  <c r="AF77" i="17"/>
  <c r="AG235" s="1"/>
  <c r="AF99"/>
  <c r="AG123" s="1"/>
  <c r="AG118" i="12"/>
  <c r="AG92" i="17"/>
  <c r="AG120" s="1"/>
  <c r="AG138" i="12"/>
  <c r="W155" i="17"/>
  <c r="M139" i="12"/>
  <c r="S134" i="17"/>
  <c r="AC199"/>
  <c r="AC203"/>
  <c r="N234"/>
  <c r="AK161" i="12"/>
  <c r="AG161"/>
  <c r="AH123"/>
  <c r="AD123"/>
  <c r="AG238"/>
  <c r="AC156"/>
  <c r="U160"/>
  <c r="Q159"/>
  <c r="M134"/>
  <c r="M160"/>
  <c r="AJ152"/>
  <c r="Y238"/>
  <c r="V155"/>
  <c r="R246"/>
  <c r="AA217"/>
  <c r="L216"/>
  <c r="M190" s="1"/>
  <c r="L141"/>
  <c r="AG80" i="17"/>
  <c r="X70"/>
  <c r="T115"/>
  <c r="S146"/>
  <c r="K136"/>
  <c r="K238"/>
  <c r="S161"/>
  <c r="N35"/>
  <c r="N160" s="1"/>
  <c r="Q25"/>
  <c r="Q144" s="1"/>
  <c r="J138"/>
  <c r="S124" i="12"/>
  <c r="S161"/>
  <c r="V138" i="17"/>
  <c r="AA124" i="12"/>
  <c r="AK208" i="17"/>
  <c r="AC185"/>
  <c r="AC60"/>
  <c r="AC62"/>
  <c r="AK60"/>
  <c r="AK186"/>
  <c r="AK205" i="12"/>
  <c r="AG201"/>
  <c r="N39" i="17"/>
  <c r="K130"/>
  <c r="J175"/>
  <c r="M10"/>
  <c r="M220" s="1"/>
  <c r="M140"/>
  <c r="N224"/>
  <c r="AL241"/>
  <c r="AL170" i="12"/>
  <c r="AK119"/>
  <c r="AJ147"/>
  <c r="AJ190"/>
  <c r="AJ199"/>
  <c r="AH133"/>
  <c r="AH180"/>
  <c r="AG129"/>
  <c r="AF194"/>
  <c r="AE118"/>
  <c r="AD130"/>
  <c r="AD166"/>
  <c r="AD188"/>
  <c r="AK110"/>
  <c r="AD156"/>
  <c r="AC153"/>
  <c r="AC110"/>
  <c r="AA153"/>
  <c r="AK58"/>
  <c r="AJ137"/>
  <c r="AD140"/>
  <c r="AC164"/>
  <c r="AC127"/>
  <c r="Z154"/>
  <c r="X158"/>
  <c r="W137"/>
  <c r="AK116"/>
  <c r="AD163"/>
  <c r="AC59"/>
  <c r="AB136"/>
  <c r="AA139"/>
  <c r="Z224"/>
  <c r="Y115"/>
  <c r="AA149"/>
  <c r="W115"/>
  <c r="W58"/>
  <c r="V196"/>
  <c r="U248"/>
  <c r="T222"/>
  <c r="T183"/>
  <c r="S162"/>
  <c r="S248"/>
  <c r="N143"/>
  <c r="N126"/>
  <c r="N183"/>
  <c r="N117"/>
  <c r="N239"/>
  <c r="L143"/>
  <c r="M236"/>
  <c r="L122"/>
  <c r="L116"/>
  <c r="K152"/>
  <c r="J224"/>
  <c r="K198" s="1"/>
  <c r="J225"/>
  <c r="J128"/>
  <c r="AK223"/>
  <c r="Y138"/>
  <c r="X152"/>
  <c r="X126"/>
  <c r="T59"/>
  <c r="M153"/>
  <c r="N232"/>
  <c r="X237"/>
  <c r="U146"/>
  <c r="S138"/>
  <c r="T240"/>
  <c r="S127"/>
  <c r="N235"/>
  <c r="AC129"/>
  <c r="X196"/>
  <c r="U156"/>
  <c r="S243"/>
  <c r="N234"/>
  <c r="K165"/>
  <c r="AA154"/>
  <c r="F224"/>
  <c r="AC149"/>
  <c r="S220"/>
  <c r="S207" s="1"/>
  <c r="K220"/>
  <c r="L207" s="1"/>
  <c r="Q243"/>
  <c r="AK28" i="17"/>
  <c r="AK157" s="1"/>
  <c r="AI96"/>
  <c r="AI153" s="1"/>
  <c r="AG32"/>
  <c r="AJ169"/>
  <c r="AE129"/>
  <c r="AD163"/>
  <c r="AC160"/>
  <c r="AA128"/>
  <c r="AA39"/>
  <c r="AF27"/>
  <c r="AG246" s="1"/>
  <c r="Y24"/>
  <c r="T85"/>
  <c r="T140" s="1"/>
  <c r="S79"/>
  <c r="S136" s="1"/>
  <c r="R81"/>
  <c r="M28"/>
  <c r="M157" s="1"/>
  <c r="L22"/>
  <c r="I24"/>
  <c r="J244" s="1"/>
  <c r="Y161"/>
  <c r="W45"/>
  <c r="T11"/>
  <c r="T51" s="1"/>
  <c r="J69"/>
  <c r="J230" s="1"/>
  <c r="V27"/>
  <c r="W246" s="1"/>
  <c r="L31"/>
  <c r="L158" s="1"/>
  <c r="M49"/>
  <c r="S190" i="12"/>
  <c r="Z139" i="17"/>
  <c r="X169"/>
  <c r="W138"/>
  <c r="AD145"/>
  <c r="L194" i="12"/>
  <c r="AK52" i="17"/>
  <c r="AD161"/>
  <c r="AA160"/>
  <c r="AA223"/>
  <c r="AL158"/>
  <c r="S211" i="12"/>
  <c r="X39" i="17"/>
  <c r="AK142" i="12"/>
  <c r="U207"/>
  <c r="M158" i="17"/>
  <c r="L169"/>
  <c r="AA230"/>
  <c r="AK61"/>
  <c r="AK62"/>
  <c r="AK90"/>
  <c r="AL124" s="1"/>
  <c r="AK194"/>
  <c r="R142"/>
  <c r="S10"/>
  <c r="S59" s="1"/>
  <c r="J21"/>
  <c r="Y241"/>
  <c r="M30"/>
  <c r="J222"/>
  <c r="W135"/>
  <c r="M222"/>
  <c r="S156"/>
  <c r="AA115"/>
  <c r="N188" i="12"/>
  <c r="M194"/>
  <c r="AK206" i="17"/>
  <c r="AK209"/>
  <c r="AC188"/>
  <c r="AC61"/>
  <c r="AC47"/>
  <c r="AC187"/>
  <c r="AK200"/>
  <c r="AK63"/>
  <c r="AK202"/>
  <c r="AK199"/>
  <c r="AK47"/>
  <c r="AL233"/>
  <c r="AK188"/>
  <c r="AK201"/>
  <c r="N201" i="12"/>
  <c r="AC204"/>
  <c r="AK204"/>
  <c r="AK201"/>
  <c r="AA201"/>
  <c r="M207"/>
  <c r="AE201"/>
  <c r="L211"/>
  <c r="S130" i="17"/>
  <c r="J227"/>
  <c r="AG165"/>
  <c r="AC154"/>
  <c r="AK224"/>
  <c r="L146"/>
  <c r="W70"/>
  <c r="R157"/>
  <c r="S132"/>
  <c r="AK131"/>
  <c r="R162"/>
  <c r="AB241"/>
  <c r="M152"/>
  <c r="L208" i="12"/>
  <c r="N198"/>
  <c r="N164" i="17"/>
  <c r="J136"/>
  <c r="AK207"/>
  <c r="AK211"/>
  <c r="AK197"/>
  <c r="AK198"/>
  <c r="AK204"/>
  <c r="AK55"/>
  <c r="N206" i="12"/>
  <c r="AA202"/>
  <c r="S70" i="17"/>
  <c r="J228"/>
  <c r="AG39"/>
  <c r="X115"/>
  <c r="AA150"/>
  <c r="R154"/>
  <c r="S191" i="12"/>
  <c r="AK57" i="17"/>
  <c r="AK59"/>
  <c r="AK203"/>
  <c r="AK196"/>
  <c r="AK187"/>
  <c r="AK48"/>
  <c r="AK64"/>
  <c r="S203" i="12"/>
  <c r="AG207"/>
  <c r="AA206"/>
  <c r="M208"/>
  <c r="AE206"/>
  <c r="L209"/>
  <c r="J150" i="17"/>
  <c r="M52"/>
  <c r="T148"/>
  <c r="T250"/>
  <c r="N30"/>
  <c r="S236"/>
  <c r="X52"/>
  <c r="AG70"/>
  <c r="S129"/>
  <c r="T198" i="12"/>
  <c r="N194"/>
  <c r="N193"/>
  <c r="M196"/>
  <c r="K196"/>
  <c r="AJ137" i="17"/>
  <c r="AJ163"/>
  <c r="AD134"/>
  <c r="AC30"/>
  <c r="W136"/>
  <c r="AE221"/>
  <c r="AA144"/>
  <c r="M228"/>
  <c r="K253"/>
  <c r="J133"/>
  <c r="AC150"/>
  <c r="H58" i="8"/>
  <c r="H29"/>
  <c r="H16"/>
  <c r="L4" i="12"/>
  <c r="K4" i="19" s="1"/>
  <c r="H28" i="8"/>
  <c r="H51"/>
  <c r="H89"/>
  <c r="H22"/>
  <c r="H38"/>
  <c r="H78"/>
  <c r="H40"/>
  <c r="H20"/>
  <c r="H13"/>
  <c r="H73"/>
  <c r="H103"/>
  <c r="H61"/>
  <c r="H76"/>
  <c r="H10"/>
  <c r="H104"/>
  <c r="H72"/>
  <c r="H15"/>
  <c r="H87"/>
  <c r="H34"/>
  <c r="H17"/>
  <c r="H41"/>
  <c r="H32"/>
  <c r="H97"/>
  <c r="H56"/>
  <c r="H39"/>
  <c r="H25"/>
  <c r="H90"/>
  <c r="H86"/>
  <c r="H84"/>
  <c r="H81"/>
  <c r="H30"/>
  <c r="H54"/>
  <c r="H43"/>
  <c r="H99"/>
  <c r="H11"/>
  <c r="H50"/>
  <c r="H49"/>
  <c r="H57"/>
  <c r="H46"/>
  <c r="H26"/>
  <c r="H69"/>
  <c r="H27"/>
  <c r="H21"/>
  <c r="H67"/>
  <c r="H77"/>
  <c r="H66"/>
  <c r="H35"/>
  <c r="H98"/>
  <c r="H12"/>
  <c r="H52"/>
  <c r="H42"/>
  <c r="H53"/>
  <c r="H70"/>
  <c r="H100"/>
  <c r="H96"/>
  <c r="H60"/>
  <c r="H23"/>
  <c r="H79"/>
  <c r="H44"/>
  <c r="H85"/>
  <c r="H45"/>
  <c r="H37"/>
  <c r="H64"/>
  <c r="H80"/>
  <c r="H14"/>
  <c r="I9"/>
  <c r="H82"/>
  <c r="H102"/>
  <c r="H24"/>
  <c r="L9" i="17"/>
  <c r="H68" i="8"/>
  <c r="H63"/>
  <c r="H92"/>
  <c r="H83"/>
  <c r="H71"/>
  <c r="H47"/>
  <c r="H93"/>
  <c r="H18"/>
  <c r="H62"/>
  <c r="AK160" i="17"/>
  <c r="AK146"/>
  <c r="AD169"/>
  <c r="AC159"/>
  <c r="X159"/>
  <c r="AG138"/>
  <c r="AE127"/>
  <c r="AK134"/>
  <c r="AG161"/>
  <c r="AA134"/>
  <c r="M141"/>
  <c r="M132"/>
  <c r="K134"/>
  <c r="AJ157"/>
  <c r="Z145"/>
  <c r="H74" i="8"/>
  <c r="H19"/>
  <c r="H48"/>
  <c r="H65"/>
  <c r="H75"/>
  <c r="AK159" i="17"/>
  <c r="AA163"/>
  <c r="W127"/>
  <c r="AA154"/>
  <c r="T138"/>
  <c r="R161"/>
  <c r="S128"/>
  <c r="R165"/>
  <c r="M39"/>
  <c r="L134"/>
  <c r="L251"/>
  <c r="J161"/>
  <c r="T139"/>
  <c r="R141"/>
  <c r="AC134"/>
  <c r="AA162"/>
  <c r="M169"/>
  <c r="L52"/>
  <c r="W157"/>
  <c r="AE131"/>
  <c r="T52"/>
  <c r="T39"/>
  <c r="M159"/>
  <c r="AK169"/>
  <c r="N175"/>
  <c r="S237"/>
  <c r="L39"/>
  <c r="H94" i="8"/>
  <c r="H36"/>
  <c r="H31"/>
  <c r="H91"/>
  <c r="K9" i="17"/>
  <c r="G46" i="8"/>
  <c r="G73"/>
  <c r="G43"/>
  <c r="G68"/>
  <c r="G77"/>
  <c r="G36"/>
  <c r="G72"/>
  <c r="G67"/>
  <c r="G64"/>
  <c r="G97"/>
  <c r="G17"/>
  <c r="G89"/>
  <c r="G86"/>
  <c r="G104"/>
  <c r="G32"/>
  <c r="G13"/>
  <c r="G44"/>
  <c r="G40"/>
  <c r="G79"/>
  <c r="G27"/>
  <c r="G34"/>
  <c r="G82"/>
  <c r="G10"/>
  <c r="G62"/>
  <c r="G33"/>
  <c r="G25"/>
  <c r="G12"/>
  <c r="G85"/>
  <c r="G102"/>
  <c r="G80"/>
  <c r="G94"/>
  <c r="G90"/>
  <c r="G65"/>
  <c r="G15"/>
  <c r="G78"/>
  <c r="G63"/>
  <c r="G81"/>
  <c r="G83"/>
  <c r="G69"/>
  <c r="G84"/>
  <c r="G51"/>
  <c r="G103"/>
  <c r="K4" i="12"/>
  <c r="J4" i="19" s="1"/>
  <c r="G61" i="8"/>
  <c r="G20"/>
  <c r="G26"/>
  <c r="G57"/>
  <c r="G47"/>
  <c r="G56"/>
  <c r="G58"/>
  <c r="G99"/>
  <c r="G53"/>
  <c r="G29"/>
  <c r="G70"/>
  <c r="G96"/>
  <c r="G74"/>
  <c r="G14"/>
  <c r="G16"/>
  <c r="G98"/>
  <c r="G23"/>
  <c r="G11"/>
  <c r="G54"/>
  <c r="G66"/>
  <c r="G37"/>
  <c r="G48"/>
  <c r="G52"/>
  <c r="G30"/>
  <c r="G55"/>
  <c r="G31"/>
  <c r="G39"/>
  <c r="I169" i="17"/>
  <c r="I180" i="12"/>
  <c r="J248"/>
  <c r="J150"/>
  <c r="J153" i="17"/>
  <c r="K236" i="12"/>
  <c r="M161" i="17"/>
  <c r="M158" i="12"/>
  <c r="M125"/>
  <c r="O161" i="17"/>
  <c r="O125" i="12"/>
  <c r="P127"/>
  <c r="Q154"/>
  <c r="Q158"/>
  <c r="Q169" i="17"/>
  <c r="R127" i="12"/>
  <c r="R149"/>
  <c r="T136"/>
  <c r="T148"/>
  <c r="U154"/>
  <c r="U164"/>
  <c r="U132"/>
  <c r="V141"/>
  <c r="V158" i="17"/>
  <c r="V160"/>
  <c r="X223" i="12"/>
  <c r="Y216"/>
  <c r="Z127"/>
  <c r="AA147" i="17"/>
  <c r="AB163" i="12"/>
  <c r="AE154"/>
  <c r="AE58"/>
  <c r="AH141" i="17"/>
  <c r="AI164" i="12"/>
  <c r="AI145"/>
  <c r="AI163"/>
  <c r="AJ131"/>
  <c r="AK135"/>
  <c r="AL153"/>
  <c r="F190"/>
  <c r="I139"/>
  <c r="J117"/>
  <c r="U139"/>
  <c r="AK139"/>
  <c r="G193"/>
  <c r="G242"/>
  <c r="K173"/>
  <c r="J147" i="17"/>
  <c r="R172" i="12"/>
  <c r="R192"/>
  <c r="T169"/>
  <c r="T180"/>
  <c r="Z216"/>
  <c r="AB169"/>
  <c r="AJ225"/>
  <c r="AJ216"/>
  <c r="AL70" i="17"/>
  <c r="J4" i="12"/>
  <c r="I4" i="19" s="1"/>
  <c r="G231" i="12"/>
  <c r="H232"/>
  <c r="J241"/>
  <c r="I183"/>
  <c r="I59"/>
  <c r="J246"/>
  <c r="I123"/>
  <c r="J160"/>
  <c r="L241"/>
  <c r="L139"/>
  <c r="N159"/>
  <c r="N139"/>
  <c r="O241"/>
  <c r="O59"/>
  <c r="P146"/>
  <c r="Q241"/>
  <c r="Q153"/>
  <c r="Q116"/>
  <c r="Q183"/>
  <c r="R221"/>
  <c r="S195" s="1"/>
  <c r="S172"/>
  <c r="S182"/>
  <c r="T234"/>
  <c r="T137"/>
  <c r="U229"/>
  <c r="U246"/>
  <c r="V132"/>
  <c r="X137"/>
  <c r="X139"/>
  <c r="AA133"/>
  <c r="AA221"/>
  <c r="AB158"/>
  <c r="AB217"/>
  <c r="AC123"/>
  <c r="AE123"/>
  <c r="AJ151"/>
  <c r="AK133"/>
  <c r="AC209" i="17"/>
  <c r="AC207"/>
  <c r="U250"/>
  <c r="AK147"/>
  <c r="L153"/>
  <c r="P141"/>
  <c r="X153"/>
  <c r="AJ155"/>
  <c r="AK163"/>
  <c r="AC201"/>
  <c r="AC44"/>
  <c r="AC166" s="1"/>
  <c r="AC196"/>
  <c r="AC198"/>
  <c r="AC194"/>
  <c r="AC48"/>
  <c r="AC55"/>
  <c r="S198"/>
  <c r="W141"/>
  <c r="W156"/>
  <c r="W154"/>
  <c r="K248"/>
  <c r="AA165"/>
  <c r="L248"/>
  <c r="S221"/>
  <c r="X154"/>
  <c r="AB229"/>
  <c r="AA224"/>
  <c r="AC52"/>
  <c r="AG221"/>
  <c r="AK115"/>
  <c r="M115"/>
  <c r="S140"/>
  <c r="L30"/>
  <c r="N158"/>
  <c r="X151"/>
  <c r="AD240"/>
  <c r="AC21"/>
  <c r="AC176" s="1"/>
  <c r="AK171"/>
  <c r="AJ142"/>
  <c r="X174"/>
  <c r="AD70"/>
  <c r="AE174"/>
  <c r="S163"/>
  <c r="T137"/>
  <c r="T30"/>
  <c r="AF236"/>
  <c r="M247"/>
  <c r="M149"/>
  <c r="AA151"/>
  <c r="N243"/>
  <c r="AK227"/>
  <c r="M241"/>
  <c r="L227"/>
  <c r="T152"/>
  <c r="X162"/>
  <c r="Z228"/>
  <c r="AK30"/>
  <c r="K135"/>
  <c r="M175"/>
  <c r="N247"/>
  <c r="H238"/>
  <c r="AA10"/>
  <c r="AD128"/>
  <c r="AB144"/>
  <c r="X160"/>
  <c r="W144"/>
  <c r="R159"/>
  <c r="J127"/>
  <c r="G233"/>
  <c r="S30"/>
  <c r="M171"/>
  <c r="AE133"/>
  <c r="G253"/>
  <c r="K161"/>
  <c r="M164"/>
  <c r="Q164"/>
  <c r="U165"/>
  <c r="AC165"/>
  <c r="AF39"/>
  <c r="AJ127"/>
  <c r="AD160"/>
  <c r="Q165"/>
  <c r="T153"/>
  <c r="N140"/>
  <c r="Q132"/>
  <c r="AC132"/>
  <c r="AH159"/>
  <c r="AC63"/>
  <c r="AC186"/>
  <c r="AC195"/>
  <c r="AC90"/>
  <c r="AD124" s="1"/>
  <c r="AD233"/>
  <c r="AC200"/>
  <c r="AC193"/>
  <c r="Q151"/>
  <c r="N245"/>
  <c r="M245"/>
  <c r="X148"/>
  <c r="AA129"/>
  <c r="AL243"/>
  <c r="AE10"/>
  <c r="AI171"/>
  <c r="N238"/>
  <c r="AA149"/>
  <c r="AA227"/>
  <c r="AL240"/>
  <c r="L175"/>
  <c r="R70"/>
  <c r="AA52"/>
  <c r="Z138"/>
  <c r="Y146"/>
  <c r="S164"/>
  <c r="R223"/>
  <c r="K123"/>
  <c r="T246"/>
  <c r="M130"/>
  <c r="J158"/>
  <c r="N128"/>
  <c r="J156"/>
  <c r="J142"/>
  <c r="L165"/>
  <c r="N156"/>
  <c r="N165"/>
  <c r="Q39"/>
  <c r="T144"/>
  <c r="T165"/>
  <c r="U39"/>
  <c r="V134"/>
  <c r="X165"/>
  <c r="Z156"/>
  <c r="AB139"/>
  <c r="AE138"/>
  <c r="AK128"/>
  <c r="AL164"/>
  <c r="I1" i="14"/>
  <c r="J7" i="17"/>
  <c r="E5" s="1"/>
  <c r="AL142" i="12"/>
  <c r="AL145" i="17"/>
  <c r="AL140" i="12"/>
  <c r="AL160"/>
  <c r="AL173"/>
  <c r="AL144" i="17"/>
  <c r="AL138" i="12"/>
  <c r="AL128" i="17"/>
  <c r="AL123" i="12"/>
  <c r="AL165"/>
  <c r="AL136"/>
  <c r="AL141" i="17"/>
  <c r="AL142"/>
  <c r="AL137" i="12"/>
  <c r="AL134"/>
  <c r="AL135"/>
  <c r="AL83" i="17"/>
  <c r="AL221" i="12"/>
  <c r="AL223"/>
  <c r="AL138" i="17"/>
  <c r="AL137"/>
  <c r="AL133" i="12"/>
  <c r="AL132"/>
  <c r="AL217"/>
  <c r="AL136" i="17"/>
  <c r="AL131" i="12"/>
  <c r="AL135" i="17"/>
  <c r="AL130" i="12"/>
  <c r="AL216"/>
  <c r="AL159"/>
  <c r="AL134" i="17"/>
  <c r="AL129" i="12"/>
  <c r="AL59"/>
  <c r="AL58"/>
  <c r="AL162"/>
  <c r="AL49" i="17"/>
  <c r="AL169"/>
  <c r="AL164" i="12"/>
  <c r="AL161"/>
  <c r="AL163" i="17"/>
  <c r="AL162"/>
  <c r="AL158" i="12"/>
  <c r="AL39" i="17"/>
  <c r="AL157" i="12"/>
  <c r="AL165" i="17"/>
  <c r="AL161"/>
  <c r="AL156" i="12"/>
  <c r="AL160" i="17"/>
  <c r="AL155" i="12"/>
  <c r="AL172"/>
  <c r="AL159" i="17"/>
  <c r="AL30"/>
  <c r="AL121" i="12"/>
  <c r="AL157" i="17"/>
  <c r="AL154"/>
  <c r="AL155"/>
  <c r="AL156"/>
  <c r="AL151" i="12"/>
  <c r="AL150"/>
  <c r="AL149"/>
  <c r="AL143"/>
  <c r="AL26" i="17"/>
  <c r="AL139" i="12"/>
  <c r="AL144"/>
  <c r="AL141"/>
  <c r="AL23" i="17"/>
  <c r="AL21"/>
  <c r="AL150"/>
  <c r="AL228"/>
  <c r="AL148" i="12"/>
  <c r="AL147"/>
  <c r="AL225"/>
  <c r="AL175" i="17"/>
  <c r="AL151"/>
  <c r="AL222" i="12"/>
  <c r="AL146"/>
  <c r="AL153" i="17"/>
  <c r="AL145" i="12"/>
  <c r="AL208"/>
  <c r="AL207"/>
  <c r="AL210"/>
  <c r="AL209"/>
  <c r="AL212"/>
  <c r="AL211"/>
  <c r="AL116"/>
  <c r="AL171"/>
  <c r="AL218"/>
  <c r="AL128"/>
  <c r="AL127"/>
  <c r="AL18" i="17"/>
  <c r="AL126" i="12"/>
  <c r="AL15" i="17"/>
  <c r="AL127" s="1"/>
  <c r="AL124" i="12"/>
  <c r="AL12" i="17"/>
  <c r="AL110" i="12"/>
  <c r="AL169"/>
  <c r="AL11" i="17"/>
  <c r="AL191" i="12"/>
  <c r="AL189"/>
  <c r="AL215"/>
  <c r="AL182"/>
  <c r="AL183"/>
  <c r="AL199"/>
  <c r="AL181"/>
  <c r="AL195"/>
  <c r="AL190"/>
  <c r="AL196"/>
  <c r="AL193"/>
  <c r="AL198"/>
  <c r="AL180"/>
  <c r="AL214"/>
  <c r="AL192"/>
  <c r="AK140"/>
  <c r="AK101" i="17"/>
  <c r="AK145" s="1"/>
  <c r="AL118" i="12"/>
  <c r="AL117"/>
  <c r="AK99" i="17"/>
  <c r="AL123" s="1"/>
  <c r="AK117" i="12"/>
  <c r="AK98" i="17"/>
  <c r="AK165" s="1"/>
  <c r="AK96"/>
  <c r="AK153" s="1"/>
  <c r="AK115" i="12"/>
  <c r="AK173"/>
  <c r="AK138"/>
  <c r="AK137"/>
  <c r="AK142" i="17"/>
  <c r="AK141"/>
  <c r="AL248"/>
  <c r="AK152" i="12"/>
  <c r="AL243"/>
  <c r="AK136"/>
  <c r="AK85" i="17"/>
  <c r="AK140" s="1"/>
  <c r="AK228"/>
  <c r="AK139"/>
  <c r="AK152"/>
  <c r="AL242"/>
  <c r="AK134" i="12"/>
  <c r="AK221"/>
  <c r="AK147"/>
  <c r="AL237"/>
  <c r="AK138" i="17"/>
  <c r="AK132" i="12"/>
  <c r="AK218"/>
  <c r="AK80" i="17"/>
  <c r="AK136"/>
  <c r="AK131" i="12"/>
  <c r="AK135" i="17"/>
  <c r="AK221"/>
  <c r="AL235"/>
  <c r="AK130"/>
  <c r="AK220"/>
  <c r="AK216" i="12"/>
  <c r="AK215"/>
  <c r="AK130"/>
  <c r="AK125"/>
  <c r="AL230"/>
  <c r="AK151"/>
  <c r="AK155" i="17"/>
  <c r="AK150" i="12"/>
  <c r="AL253" i="17"/>
  <c r="AK149" i="12"/>
  <c r="AL248"/>
  <c r="AL247"/>
  <c r="AK71" i="17"/>
  <c r="AK145" i="12"/>
  <c r="AK150" i="17"/>
  <c r="AK230"/>
  <c r="AK225" i="12"/>
  <c r="AK162" i="17"/>
  <c r="AK164"/>
  <c r="AK39"/>
  <c r="AK157" i="12"/>
  <c r="AK172"/>
  <c r="AK159"/>
  <c r="AK20" i="17"/>
  <c r="AK132" s="1"/>
  <c r="AK129"/>
  <c r="AK124" i="12"/>
  <c r="AJ145" i="17"/>
  <c r="AJ140" i="12"/>
  <c r="AJ144" i="17"/>
  <c r="AJ128"/>
  <c r="AJ82"/>
  <c r="AJ138" s="1"/>
  <c r="AJ79"/>
  <c r="AJ136" s="1"/>
  <c r="AJ135"/>
  <c r="AK235"/>
  <c r="AJ130" i="12"/>
  <c r="AK230"/>
  <c r="AJ125"/>
  <c r="AJ75" i="17"/>
  <c r="AJ156" s="1"/>
  <c r="AJ150" i="12"/>
  <c r="AJ72" i="17"/>
  <c r="AJ134"/>
  <c r="AJ159"/>
  <c r="AK240" i="12"/>
  <c r="AJ143"/>
  <c r="AK236"/>
  <c r="AJ26" i="17"/>
  <c r="AJ166" i="12"/>
  <c r="AJ141"/>
  <c r="AJ23" i="17"/>
  <c r="AK238" i="12"/>
  <c r="AJ148"/>
  <c r="AJ223"/>
  <c r="AJ144"/>
  <c r="AJ22" i="17"/>
  <c r="AJ170" i="12"/>
  <c r="AJ146"/>
  <c r="AJ145"/>
  <c r="AK235"/>
  <c r="AJ207"/>
  <c r="AJ210"/>
  <c r="AJ211"/>
  <c r="AJ208"/>
  <c r="AJ209"/>
  <c r="AJ212"/>
  <c r="AK234"/>
  <c r="AJ127"/>
  <c r="AK237" i="17"/>
  <c r="AJ224"/>
  <c r="AJ219" i="12"/>
  <c r="AK232"/>
  <c r="AK231"/>
  <c r="AJ126"/>
  <c r="AJ218"/>
  <c r="AJ128"/>
  <c r="AJ18" i="17"/>
  <c r="AJ123" i="12"/>
  <c r="AK229"/>
  <c r="AJ169"/>
  <c r="AJ11" i="17"/>
  <c r="AJ110" i="12"/>
  <c r="AJ124"/>
  <c r="AJ214"/>
  <c r="AJ55"/>
  <c r="AJ194"/>
  <c r="AJ215"/>
  <c r="AJ188"/>
  <c r="AJ189"/>
  <c r="AJ195"/>
  <c r="AJ192"/>
  <c r="AJ180"/>
  <c r="AJ197"/>
  <c r="AJ181"/>
  <c r="AJ171"/>
  <c r="AK228"/>
  <c r="AJ183"/>
  <c r="AJ116"/>
  <c r="AI140"/>
  <c r="AI101" i="17"/>
  <c r="AI145" s="1"/>
  <c r="AI99"/>
  <c r="AJ123" s="1"/>
  <c r="AJ172" i="12"/>
  <c r="AI144" i="17"/>
  <c r="AI128"/>
  <c r="AI123" i="12"/>
  <c r="AJ173"/>
  <c r="AI138"/>
  <c r="AI142" i="17"/>
  <c r="AI136" i="12"/>
  <c r="AJ248" i="17"/>
  <c r="AI141"/>
  <c r="AI137" i="12"/>
  <c r="AI139" i="17"/>
  <c r="AI140"/>
  <c r="AJ242"/>
  <c r="AI152"/>
  <c r="AI134" i="12"/>
  <c r="AI135"/>
  <c r="AI223"/>
  <c r="AJ237"/>
  <c r="AI221"/>
  <c r="AI138" i="17"/>
  <c r="AI133" i="12"/>
  <c r="AI132"/>
  <c r="AI80" i="17"/>
  <c r="AI79"/>
  <c r="AI136" s="1"/>
  <c r="AI135"/>
  <c r="AJ235"/>
  <c r="AJ230" i="12"/>
  <c r="AI216"/>
  <c r="AI130"/>
  <c r="AI125"/>
  <c r="AI70" i="17"/>
  <c r="AJ246" i="12"/>
  <c r="AJ245"/>
  <c r="AI134" i="17"/>
  <c r="AI129" i="12"/>
  <c r="AI58"/>
  <c r="AI59"/>
  <c r="AI165"/>
  <c r="AI169" i="17"/>
  <c r="AI161" i="12"/>
  <c r="AJ117"/>
  <c r="AI162"/>
  <c r="AI163" i="17"/>
  <c r="AI39"/>
  <c r="AI164"/>
  <c r="AI162"/>
  <c r="AI165"/>
  <c r="AI160" i="12"/>
  <c r="AI157"/>
  <c r="AI161" i="17"/>
  <c r="AI156" i="12"/>
  <c r="AI160" i="17"/>
  <c r="AI155" i="12"/>
  <c r="AI117"/>
  <c r="AI154"/>
  <c r="AI33" i="17"/>
  <c r="AI159" s="1"/>
  <c r="AI121" i="12"/>
  <c r="AI158" i="17"/>
  <c r="AI153" i="12"/>
  <c r="AI120"/>
  <c r="AI157" i="17"/>
  <c r="AJ247"/>
  <c r="AI156"/>
  <c r="AI175"/>
  <c r="AI154"/>
  <c r="AI155"/>
  <c r="AI150" i="12"/>
  <c r="AI151"/>
  <c r="AI152"/>
  <c r="AI149"/>
  <c r="AI27" i="17"/>
  <c r="AJ246" s="1"/>
  <c r="AI143" i="12"/>
  <c r="AI141"/>
  <c r="AI23" i="17"/>
  <c r="AJ238" i="12"/>
  <c r="AI228" i="17"/>
  <c r="AJ241"/>
  <c r="AI147" i="12"/>
  <c r="AI146"/>
  <c r="AI227" i="17"/>
  <c r="AJ240"/>
  <c r="AI21"/>
  <c r="AJ235" i="12"/>
  <c r="AJ236"/>
  <c r="AI144"/>
  <c r="AI150" i="17"/>
  <c r="AI151"/>
  <c r="AI225" i="12"/>
  <c r="AI170"/>
  <c r="AI220"/>
  <c r="AI127"/>
  <c r="AJ232"/>
  <c r="AI126"/>
  <c r="AI128"/>
  <c r="AI18" i="17"/>
  <c r="AJ231" i="12"/>
  <c r="AI217"/>
  <c r="AI218"/>
  <c r="AI122"/>
  <c r="AI14" i="17"/>
  <c r="AI127" s="1"/>
  <c r="AI169" i="12"/>
  <c r="AI11" i="17"/>
  <c r="AI110" i="12"/>
  <c r="AJ229"/>
  <c r="AI124"/>
  <c r="AI192"/>
  <c r="AI181"/>
  <c r="AI116"/>
  <c r="AI215"/>
  <c r="AI188"/>
  <c r="AI196"/>
  <c r="AI183"/>
  <c r="AI180"/>
  <c r="AI171"/>
  <c r="AI55"/>
  <c r="AI214"/>
  <c r="AI199"/>
  <c r="AI190"/>
  <c r="AI194"/>
  <c r="AJ228"/>
  <c r="AH145" i="17"/>
  <c r="AH140" i="12"/>
  <c r="AI118"/>
  <c r="AH99" i="17"/>
  <c r="AI123" s="1"/>
  <c r="AH163" i="12"/>
  <c r="AH160"/>
  <c r="AH165" i="17"/>
  <c r="AH92"/>
  <c r="AH120" s="1"/>
  <c r="AH138" i="12"/>
  <c r="AH128" i="17"/>
  <c r="AI173" i="12"/>
  <c r="AH165"/>
  <c r="AH142" i="17"/>
  <c r="AH136" i="12"/>
  <c r="AI248" i="17"/>
  <c r="AH137" i="12"/>
  <c r="AI243"/>
  <c r="AH135"/>
  <c r="AH134"/>
  <c r="AH223"/>
  <c r="AI237"/>
  <c r="AH83" i="17"/>
  <c r="AH221" i="12"/>
  <c r="AH138" i="17"/>
  <c r="AH132" i="12"/>
  <c r="AH137" i="17"/>
  <c r="AH217" i="12"/>
  <c r="AH136" i="17"/>
  <c r="AH135"/>
  <c r="AI235"/>
  <c r="AH216" i="12"/>
  <c r="AH130"/>
  <c r="AI248"/>
  <c r="AH149"/>
  <c r="AI252" i="17"/>
  <c r="AH70"/>
  <c r="AI247" i="12"/>
  <c r="AH69" i="17"/>
  <c r="AI251" s="1"/>
  <c r="AI245" i="12"/>
  <c r="AH164" i="17"/>
  <c r="AH134"/>
  <c r="AH59" i="12"/>
  <c r="AH58"/>
  <c r="AH49" i="17"/>
  <c r="AH169"/>
  <c r="AH164" i="12"/>
  <c r="AH161"/>
  <c r="AH162"/>
  <c r="AI172"/>
  <c r="AH163" i="17"/>
  <c r="AH158" i="12"/>
  <c r="AH157"/>
  <c r="AH162" i="17"/>
  <c r="AH39"/>
  <c r="AH159" i="12"/>
  <c r="AH161" i="17"/>
  <c r="AH156" i="12"/>
  <c r="AH155"/>
  <c r="AH35" i="17"/>
  <c r="AH160" s="1"/>
  <c r="AH117" i="12"/>
  <c r="AH158" i="17"/>
  <c r="AH153" i="12"/>
  <c r="AH121"/>
  <c r="AH157" i="17"/>
  <c r="AH154"/>
  <c r="AI247"/>
  <c r="AH155"/>
  <c r="AH156"/>
  <c r="AH151" i="12"/>
  <c r="AH150"/>
  <c r="AI242"/>
  <c r="AH152"/>
  <c r="AH171" i="17"/>
  <c r="AI245"/>
  <c r="AH148"/>
  <c r="AH143" i="12"/>
  <c r="AH166"/>
  <c r="AI236"/>
  <c r="AH25" i="17"/>
  <c r="AH144" s="1"/>
  <c r="AH24"/>
  <c r="AI244" s="1"/>
  <c r="AH142" i="12"/>
  <c r="AH147" i="17"/>
  <c r="AH144" i="12"/>
  <c r="AH147"/>
  <c r="AH225"/>
  <c r="AH148"/>
  <c r="AH222"/>
  <c r="AH22" i="17"/>
  <c r="AH51" s="1"/>
  <c r="AH170" i="12"/>
  <c r="AH146"/>
  <c r="AH171"/>
  <c r="AH220"/>
  <c r="AH224" i="17"/>
  <c r="AI237"/>
  <c r="AH126" i="12"/>
  <c r="AH218"/>
  <c r="AI232"/>
  <c r="AH219"/>
  <c r="AH127"/>
  <c r="AI231"/>
  <c r="AH18" i="17"/>
  <c r="AH128" i="12"/>
  <c r="AH127" i="17"/>
  <c r="AH10"/>
  <c r="AH174"/>
  <c r="AH129"/>
  <c r="AH221"/>
  <c r="AH130"/>
  <c r="AI234"/>
  <c r="AH169" i="12"/>
  <c r="AH124"/>
  <c r="AH110"/>
  <c r="AH125"/>
  <c r="AI229"/>
  <c r="AH189"/>
  <c r="AH191"/>
  <c r="AH198"/>
  <c r="AH194"/>
  <c r="AH183"/>
  <c r="AH193"/>
  <c r="AH182"/>
  <c r="AI228"/>
  <c r="AH196"/>
  <c r="AH197"/>
  <c r="AH195"/>
  <c r="AH190"/>
  <c r="AH214"/>
  <c r="AH215"/>
  <c r="AH192"/>
  <c r="AH116"/>
  <c r="AG140"/>
  <c r="AG145" i="17"/>
  <c r="AH172" i="12"/>
  <c r="AG163"/>
  <c r="AG144" i="17"/>
  <c r="AG173" i="12"/>
  <c r="AG139"/>
  <c r="AG123"/>
  <c r="AH173"/>
  <c r="AG141" i="17"/>
  <c r="AG142"/>
  <c r="AH248"/>
  <c r="AG136" i="12"/>
  <c r="AG137"/>
  <c r="AG221"/>
  <c r="AG152"/>
  <c r="AG135"/>
  <c r="AG160" i="17"/>
  <c r="AG36"/>
  <c r="AG117" i="12"/>
  <c r="AG154"/>
  <c r="AG33" i="17"/>
  <c r="AG159" s="1"/>
  <c r="AG121" i="12"/>
  <c r="AG158" i="17"/>
  <c r="AG149" i="12"/>
  <c r="AG150"/>
  <c r="AG28" i="17"/>
  <c r="AH242" i="12"/>
  <c r="AG143"/>
  <c r="AH241"/>
  <c r="AG26" i="17"/>
  <c r="AG166" i="12"/>
  <c r="AG144"/>
  <c r="AG146" i="17"/>
  <c r="AG24"/>
  <c r="AH244" s="1"/>
  <c r="AG147"/>
  <c r="AG142" i="12"/>
  <c r="AG170"/>
  <c r="AH235"/>
  <c r="AG145"/>
  <c r="AG22" i="17"/>
  <c r="AG51" s="1"/>
  <c r="AG146" i="12"/>
  <c r="AG225"/>
  <c r="AG147"/>
  <c r="AG223"/>
  <c r="AG110"/>
  <c r="AG212"/>
  <c r="AG209"/>
  <c r="AG208"/>
  <c r="AG127"/>
  <c r="AH237" i="17"/>
  <c r="AG224"/>
  <c r="AH232" i="12"/>
  <c r="AG218"/>
  <c r="AG128"/>
  <c r="AG217"/>
  <c r="AG18" i="17"/>
  <c r="AG17"/>
  <c r="AG128" s="1"/>
  <c r="AG127"/>
  <c r="AG122" i="12"/>
  <c r="AH234" i="17"/>
  <c r="AG169" i="12"/>
  <c r="AG130" i="17"/>
  <c r="AH229" i="12"/>
  <c r="AG124"/>
  <c r="AG205"/>
  <c r="AG202"/>
  <c r="AG183"/>
  <c r="AG116"/>
  <c r="AG199"/>
  <c r="AH228"/>
  <c r="AG55"/>
  <c r="AG206"/>
  <c r="AG181"/>
  <c r="AG197"/>
  <c r="AG180"/>
  <c r="AG182"/>
  <c r="AG192"/>
  <c r="AG171"/>
  <c r="AG193"/>
  <c r="AG196"/>
  <c r="AG194"/>
  <c r="AG188"/>
  <c r="AG191"/>
  <c r="AF145" i="17"/>
  <c r="AF140" i="12"/>
  <c r="AF148"/>
  <c r="AF173"/>
  <c r="AF144" i="17"/>
  <c r="AF115" i="12"/>
  <c r="AF138"/>
  <c r="AF123"/>
  <c r="AF128" i="17"/>
  <c r="AG119" i="12"/>
  <c r="AF137"/>
  <c r="AF136"/>
  <c r="AF152"/>
  <c r="AF86" i="17"/>
  <c r="AF139"/>
  <c r="AG242"/>
  <c r="AF140"/>
  <c r="AG237" i="12"/>
  <c r="AF135"/>
  <c r="AF134"/>
  <c r="AF138" i="17"/>
  <c r="AF133" i="12"/>
  <c r="AF132"/>
  <c r="AF222" i="17"/>
  <c r="AF137"/>
  <c r="AG238"/>
  <c r="AG233" i="12"/>
  <c r="AF131"/>
  <c r="AF78" i="17"/>
  <c r="AF151" i="12"/>
  <c r="AG253" i="17"/>
  <c r="AG252"/>
  <c r="AF70"/>
  <c r="AG246" i="12"/>
  <c r="AF229" i="17"/>
  <c r="AG250"/>
  <c r="AF224" i="12"/>
  <c r="AG245"/>
  <c r="AF164" i="17"/>
  <c r="AF129" i="12"/>
  <c r="AF159"/>
  <c r="AF65" i="17"/>
  <c r="AF134" s="1"/>
  <c r="AF58" i="12"/>
  <c r="AF169" i="17"/>
  <c r="AF164" i="12"/>
  <c r="AF161"/>
  <c r="AF163"/>
  <c r="AG172"/>
  <c r="AF163" i="17"/>
  <c r="AF157" i="12"/>
  <c r="AF165" i="17"/>
  <c r="AF162"/>
  <c r="AF160" i="12"/>
  <c r="AF156"/>
  <c r="AF161" i="17"/>
  <c r="AF160"/>
  <c r="AF155" i="12"/>
  <c r="AF159" i="17"/>
  <c r="AF154" i="12"/>
  <c r="AF121"/>
  <c r="AF158" i="17"/>
  <c r="AF30"/>
  <c r="AF153" i="12"/>
  <c r="AF155" i="17"/>
  <c r="AF149" i="12"/>
  <c r="AG247" i="17"/>
  <c r="AG242" i="12"/>
  <c r="AF156" i="17"/>
  <c r="AF150" i="12"/>
  <c r="AF148" i="17"/>
  <c r="AF171"/>
  <c r="AG245"/>
  <c r="AF143" i="12"/>
  <c r="AF166"/>
  <c r="AG240"/>
  <c r="AF147" i="17"/>
  <c r="AF146"/>
  <c r="AG243"/>
  <c r="AF142" i="12"/>
  <c r="AF141"/>
  <c r="AF153" i="17"/>
  <c r="AF150"/>
  <c r="AF175"/>
  <c r="AF227"/>
  <c r="AG240"/>
  <c r="AG241"/>
  <c r="AF21"/>
  <c r="AF230"/>
  <c r="AF228"/>
  <c r="AF151"/>
  <c r="AF149"/>
  <c r="AF152"/>
  <c r="AF146" i="12"/>
  <c r="AF145"/>
  <c r="AF225"/>
  <c r="AF222"/>
  <c r="AG236"/>
  <c r="AF144"/>
  <c r="AF170"/>
  <c r="AF147"/>
  <c r="AF211"/>
  <c r="AF212"/>
  <c r="AF207"/>
  <c r="AF208"/>
  <c r="AF209"/>
  <c r="AF210"/>
  <c r="AF116"/>
  <c r="AF221"/>
  <c r="AF224" i="17"/>
  <c r="AG237"/>
  <c r="AF223"/>
  <c r="AF219" i="12"/>
  <c r="AF218"/>
  <c r="AF126"/>
  <c r="AF132" i="17"/>
  <c r="AF131"/>
  <c r="AF128" i="12"/>
  <c r="AF169"/>
  <c r="AF133" i="17"/>
  <c r="AG236"/>
  <c r="AF217" i="12"/>
  <c r="AF127"/>
  <c r="AF127" i="17"/>
  <c r="AF52"/>
  <c r="AF129"/>
  <c r="AF174"/>
  <c r="AG234"/>
  <c r="AF51"/>
  <c r="AF10"/>
  <c r="AF115"/>
  <c r="AF125" i="12"/>
  <c r="AG229"/>
  <c r="AF216"/>
  <c r="AF110"/>
  <c r="AF124"/>
  <c r="AF192"/>
  <c r="AF214"/>
  <c r="AF193"/>
  <c r="AF181"/>
  <c r="AF189"/>
  <c r="AF199"/>
  <c r="AF180"/>
  <c r="AF183"/>
  <c r="AF55"/>
  <c r="AF215"/>
  <c r="AF188"/>
  <c r="AF171"/>
  <c r="AF195"/>
  <c r="AF182"/>
  <c r="AF197"/>
  <c r="AE117"/>
  <c r="AE140"/>
  <c r="AE145" i="17"/>
  <c r="AF118" i="12"/>
  <c r="AF117"/>
  <c r="AE163"/>
  <c r="AF172"/>
  <c r="AE173"/>
  <c r="AE144" i="17"/>
  <c r="AE92"/>
  <c r="AE120" s="1"/>
  <c r="AE138" i="12"/>
  <c r="AF119"/>
  <c r="AE165"/>
  <c r="AE137"/>
  <c r="AE87" i="17"/>
  <c r="AF243" i="12"/>
  <c r="AE86" i="17"/>
  <c r="AE140"/>
  <c r="AE134" i="12"/>
  <c r="AE135"/>
  <c r="AE147"/>
  <c r="AE223" i="17"/>
  <c r="AE128" i="12"/>
  <c r="AF233"/>
  <c r="AE217"/>
  <c r="AE130" i="17"/>
  <c r="AE135"/>
  <c r="AE216" i="12"/>
  <c r="AE215"/>
  <c r="AF235" i="17"/>
  <c r="AE130" i="12"/>
  <c r="AE125"/>
  <c r="AE150"/>
  <c r="AF252" i="17"/>
  <c r="AE70"/>
  <c r="AF247" i="12"/>
  <c r="AE151" i="17"/>
  <c r="AE229"/>
  <c r="AF250"/>
  <c r="AF245" i="12"/>
  <c r="AE129"/>
  <c r="AE65" i="17"/>
  <c r="AE134" s="1"/>
  <c r="AE59" i="12"/>
  <c r="AE49" i="17"/>
  <c r="AE169"/>
  <c r="AE164" i="12"/>
  <c r="AE162"/>
  <c r="AE161"/>
  <c r="AE41" i="17"/>
  <c r="AE163" s="1"/>
  <c r="AE158" i="12"/>
  <c r="AE165" i="17"/>
  <c r="AE39"/>
  <c r="AE162"/>
  <c r="AE164"/>
  <c r="AE159" i="12"/>
  <c r="AE160"/>
  <c r="AE156"/>
  <c r="AE161" i="17"/>
  <c r="AE160"/>
  <c r="AE172" i="12"/>
  <c r="AE155"/>
  <c r="AE159" i="17"/>
  <c r="AE34"/>
  <c r="AE32"/>
  <c r="AE158" s="1"/>
  <c r="AE121" i="12"/>
  <c r="AE30" i="17"/>
  <c r="AE155"/>
  <c r="AF247"/>
  <c r="AE154"/>
  <c r="AE156"/>
  <c r="AE149" i="12"/>
  <c r="AF242"/>
  <c r="AE151"/>
  <c r="AE152"/>
  <c r="AE170"/>
  <c r="AE143"/>
  <c r="AE27" i="17"/>
  <c r="AF246" s="1"/>
  <c r="AF241"/>
  <c r="AF245"/>
  <c r="AE171"/>
  <c r="AE166" i="12"/>
  <c r="AF240"/>
  <c r="AF239"/>
  <c r="AE147" i="17"/>
  <c r="AE149"/>
  <c r="AF243"/>
  <c r="AE146"/>
  <c r="AE142" i="12"/>
  <c r="AF238"/>
  <c r="AE141"/>
  <c r="AE52" i="17"/>
  <c r="AE150"/>
  <c r="AE175"/>
  <c r="AE152"/>
  <c r="AE153"/>
  <c r="AE110" i="12"/>
  <c r="AE145"/>
  <c r="AF236"/>
  <c r="AE225"/>
  <c r="AE51" i="17"/>
  <c r="AE230"/>
  <c r="AE228"/>
  <c r="AE21"/>
  <c r="AE144" i="12"/>
  <c r="AE146"/>
  <c r="AE115" i="17"/>
  <c r="AE227"/>
  <c r="AE148" i="12"/>
  <c r="AE223"/>
  <c r="AE212"/>
  <c r="AE207"/>
  <c r="AE210"/>
  <c r="AE208"/>
  <c r="AE211"/>
  <c r="AE209"/>
  <c r="AF234"/>
  <c r="AE171"/>
  <c r="AE221"/>
  <c r="AE116"/>
  <c r="AD165" i="17"/>
  <c r="AD221" i="12"/>
  <c r="AD150" i="17"/>
  <c r="AD162"/>
  <c r="AD164"/>
  <c r="AD157" i="12"/>
  <c r="AD158" i="17"/>
  <c r="AD30"/>
  <c r="AD21"/>
  <c r="AD154"/>
  <c r="AE247"/>
  <c r="AD155"/>
  <c r="AD156"/>
  <c r="AE242" i="12"/>
  <c r="AD149"/>
  <c r="AD151"/>
  <c r="AD152"/>
  <c r="AD27" i="17"/>
  <c r="AD143" i="12"/>
  <c r="AD144"/>
  <c r="AD23" i="17"/>
  <c r="AD141" i="12"/>
  <c r="AE240" i="17"/>
  <c r="AD151"/>
  <c r="AD149"/>
  <c r="AD147" i="12"/>
  <c r="AD146"/>
  <c r="AD222"/>
  <c r="AD153" i="17"/>
  <c r="AD175"/>
  <c r="AD227"/>
  <c r="AE236" i="12"/>
  <c r="AD145"/>
  <c r="AE235"/>
  <c r="AD110"/>
  <c r="AE241" i="17"/>
  <c r="AD225" i="12"/>
  <c r="AE234"/>
  <c r="AD220"/>
  <c r="AE237" i="17"/>
  <c r="AD224"/>
  <c r="AD218" i="12"/>
  <c r="AD219"/>
  <c r="AD126"/>
  <c r="AD217"/>
  <c r="AD18" i="17"/>
  <c r="AD127" i="12"/>
  <c r="AD128"/>
  <c r="AD169"/>
  <c r="AD127" i="17"/>
  <c r="AD122" i="12"/>
  <c r="AD124"/>
  <c r="AD12" i="17"/>
  <c r="AD125" i="12"/>
  <c r="AE229"/>
  <c r="AD11" i="17"/>
  <c r="AD216" i="12"/>
  <c r="AE228"/>
  <c r="AD189"/>
  <c r="AD190"/>
  <c r="AD194"/>
  <c r="AD183"/>
  <c r="AD180"/>
  <c r="AD192"/>
  <c r="AD182"/>
  <c r="AD214"/>
  <c r="AD193"/>
  <c r="AD199"/>
  <c r="AD55"/>
  <c r="AD181"/>
  <c r="AD195"/>
  <c r="AD171"/>
  <c r="AD116"/>
  <c r="AC145" i="17"/>
  <c r="AC140" i="12"/>
  <c r="AD118"/>
  <c r="AC163"/>
  <c r="AD117"/>
  <c r="AD172"/>
  <c r="AC96" i="17"/>
  <c r="AC153" s="1"/>
  <c r="AC173" i="12"/>
  <c r="AC144" i="17"/>
  <c r="AC138" i="12"/>
  <c r="AD119"/>
  <c r="AD173"/>
  <c r="AC165"/>
  <c r="AC136"/>
  <c r="AD243"/>
  <c r="AC152"/>
  <c r="AC86" i="17"/>
  <c r="AC139"/>
  <c r="AD242"/>
  <c r="AC152"/>
  <c r="AC140"/>
  <c r="AC228"/>
  <c r="AC135" i="12"/>
  <c r="AC221"/>
  <c r="AC147"/>
  <c r="AC134"/>
  <c r="AC223"/>
  <c r="AC138" i="17"/>
  <c r="AC133" i="12"/>
  <c r="AC132"/>
  <c r="AD238" i="17"/>
  <c r="AC223"/>
  <c r="AC137"/>
  <c r="AC133"/>
  <c r="AC222"/>
  <c r="AD233" i="12"/>
  <c r="AC128"/>
  <c r="AC217"/>
  <c r="AC131"/>
  <c r="AC78" i="17"/>
  <c r="AC136" s="1"/>
  <c r="AD235"/>
  <c r="AC130"/>
  <c r="AC220"/>
  <c r="AC221"/>
  <c r="AC216" i="12"/>
  <c r="AC130"/>
  <c r="AC125"/>
  <c r="AC215"/>
  <c r="AC155" i="17"/>
  <c r="AC150" i="12"/>
  <c r="AC151" i="17"/>
  <c r="AD247" i="12"/>
  <c r="AD246"/>
  <c r="AC121"/>
  <c r="AC115" i="17"/>
  <c r="AC120" i="12"/>
  <c r="AD245" i="17"/>
  <c r="AC148"/>
  <c r="AD241"/>
  <c r="AC171"/>
  <c r="AC143" i="12"/>
  <c r="AD236"/>
  <c r="AC166"/>
  <c r="AC141"/>
  <c r="AC225"/>
  <c r="AC23" i="17"/>
  <c r="AC142" i="12"/>
  <c r="AC144"/>
  <c r="AC124"/>
  <c r="AC13" i="17"/>
  <c r="AC129" s="1"/>
  <c r="AB128"/>
  <c r="AB165" i="12"/>
  <c r="AB85" i="17"/>
  <c r="AB140" s="1"/>
  <c r="AB134" i="12"/>
  <c r="AB221"/>
  <c r="AB138" i="17"/>
  <c r="AB137"/>
  <c r="AB133" i="12"/>
  <c r="AC233"/>
  <c r="AC238" i="17"/>
  <c r="AB132" i="12"/>
  <c r="AB131"/>
  <c r="AB78" i="17"/>
  <c r="AB136" s="1"/>
  <c r="AB130" i="12"/>
  <c r="AC230"/>
  <c r="AB77" i="17"/>
  <c r="AB151" i="12"/>
  <c r="AB154" i="17"/>
  <c r="AB149" i="12"/>
  <c r="AC252" i="17"/>
  <c r="AB146" i="12"/>
  <c r="AC247"/>
  <c r="AB145"/>
  <c r="AC245"/>
  <c r="AB134" i="17"/>
  <c r="AB129" i="12"/>
  <c r="AB58"/>
  <c r="AB49" i="17"/>
  <c r="AB169"/>
  <c r="AB164" i="12"/>
  <c r="AB162"/>
  <c r="AC117"/>
  <c r="AC172"/>
  <c r="AB39" i="17"/>
  <c r="AB41"/>
  <c r="AB157" i="12"/>
  <c r="AB164" i="17"/>
  <c r="AB159" i="12"/>
  <c r="AB172"/>
  <c r="AB165" i="17"/>
  <c r="AB160" i="12"/>
  <c r="AB156"/>
  <c r="AB37" i="17"/>
  <c r="AB161" s="1"/>
  <c r="AB155" i="12"/>
  <c r="AB35" i="17"/>
  <c r="AB160" s="1"/>
  <c r="AB154" i="12"/>
  <c r="AB33" i="17"/>
  <c r="AB159" s="1"/>
  <c r="AB121" i="12"/>
  <c r="AB158" i="17"/>
  <c r="AB153" i="12"/>
  <c r="AB156" i="17"/>
  <c r="AB155"/>
  <c r="AC242" i="12"/>
  <c r="AB150"/>
  <c r="AC241"/>
  <c r="AB143"/>
  <c r="AB26" i="17"/>
  <c r="AB144" i="12"/>
  <c r="AB139"/>
  <c r="AC239"/>
  <c r="AB147" i="17"/>
  <c r="AB146"/>
  <c r="AC243"/>
  <c r="AB141" i="12"/>
  <c r="AC238"/>
  <c r="AB170"/>
  <c r="AB147"/>
  <c r="AC236"/>
  <c r="AC235"/>
  <c r="AB148"/>
  <c r="AB222"/>
  <c r="AB22" i="17"/>
  <c r="AB225" i="12"/>
  <c r="AB220"/>
  <c r="AC237" i="17"/>
  <c r="AB224"/>
  <c r="AB219" i="12"/>
  <c r="AC232"/>
  <c r="AB128"/>
  <c r="AB127"/>
  <c r="AB18" i="17"/>
  <c r="AB218" i="12"/>
  <c r="AB126"/>
  <c r="AB123"/>
  <c r="AB15" i="17"/>
  <c r="AB127" s="1"/>
  <c r="AB124" i="12"/>
  <c r="AB110"/>
  <c r="AB11" i="17"/>
  <c r="AB125" i="12"/>
  <c r="AB216"/>
  <c r="AB183"/>
  <c r="AC228"/>
  <c r="AB199"/>
  <c r="AB191"/>
  <c r="AB197"/>
  <c r="AB215"/>
  <c r="AB198"/>
  <c r="AB116"/>
  <c r="AB190"/>
  <c r="AB214"/>
  <c r="AB171"/>
  <c r="AB181"/>
  <c r="AB193"/>
  <c r="AB195"/>
  <c r="AB180"/>
  <c r="AB196"/>
  <c r="AA142"/>
  <c r="AA140"/>
  <c r="AA145" i="17"/>
  <c r="AB118" i="12"/>
  <c r="AA163"/>
  <c r="AB117"/>
  <c r="AA96" i="17"/>
  <c r="AA153" s="1"/>
  <c r="AA173" i="12"/>
  <c r="AA92" i="17"/>
  <c r="AA120" s="1"/>
  <c r="AA138" i="12"/>
  <c r="AA165"/>
  <c r="AA141" i="17"/>
  <c r="AA137" i="12"/>
  <c r="AA142" i="17"/>
  <c r="AA136" i="12"/>
  <c r="AA134"/>
  <c r="AA135"/>
  <c r="AA83" i="17"/>
  <c r="AA147" i="12"/>
  <c r="AA82" i="17"/>
  <c r="AA138" s="1"/>
  <c r="AA132" i="12"/>
  <c r="AA137" i="17"/>
  <c r="AA222"/>
  <c r="AB233" i="12"/>
  <c r="AA128"/>
  <c r="AA218"/>
  <c r="AA136" i="17"/>
  <c r="AA135"/>
  <c r="AA130" i="12"/>
  <c r="AA172"/>
  <c r="AA30" i="17"/>
  <c r="AA148"/>
  <c r="AA51"/>
  <c r="Z123" i="12"/>
  <c r="Z131"/>
  <c r="Z78" i="17"/>
  <c r="Z136" s="1"/>
  <c r="Z130" i="12"/>
  <c r="AA230"/>
  <c r="Z77" i="17"/>
  <c r="Z221" s="1"/>
  <c r="Z151" i="12"/>
  <c r="Z155" i="17"/>
  <c r="Z150" i="12"/>
  <c r="Z70" i="17"/>
  <c r="AA252"/>
  <c r="AA247" i="12"/>
  <c r="AA246"/>
  <c r="Z145"/>
  <c r="Z164"/>
  <c r="Z45" i="17"/>
  <c r="Z169" s="1"/>
  <c r="Z161" i="12"/>
  <c r="AA117"/>
  <c r="Z163"/>
  <c r="Z163" i="17"/>
  <c r="Z158" i="12"/>
  <c r="Z157"/>
  <c r="Z40" i="17"/>
  <c r="Z159" i="12"/>
  <c r="Z116"/>
  <c r="Z161" i="17"/>
  <c r="Z156" i="12"/>
  <c r="Z160" i="17"/>
  <c r="Z155" i="12"/>
  <c r="Z172"/>
  <c r="Z159" i="17"/>
  <c r="Z121" i="12"/>
  <c r="Z158" i="17"/>
  <c r="Z30"/>
  <c r="Z153" i="12"/>
  <c r="Z154" i="17"/>
  <c r="Z152" i="12"/>
  <c r="Z27" i="17"/>
  <c r="AA246" s="1"/>
  <c r="Z171"/>
  <c r="AA245"/>
  <c r="Z143" i="12"/>
  <c r="AA240"/>
  <c r="Z166"/>
  <c r="Z25" i="17"/>
  <c r="Z144" s="1"/>
  <c r="Z144" i="12"/>
  <c r="AA238"/>
  <c r="Z23" i="17"/>
  <c r="Z175"/>
  <c r="Z151"/>
  <c r="Z222" i="12"/>
  <c r="AA236"/>
  <c r="Z110"/>
  <c r="Z51" i="17"/>
  <c r="Z153"/>
  <c r="AA241"/>
  <c r="Z146" i="12"/>
  <c r="Z223"/>
  <c r="Z225"/>
  <c r="Z52" i="17"/>
  <c r="Z21"/>
  <c r="Z152"/>
  <c r="Z170" i="12"/>
  <c r="AA235"/>
  <c r="Z208"/>
  <c r="Z211"/>
  <c r="Z212"/>
  <c r="Z207"/>
  <c r="Z210"/>
  <c r="Z209"/>
  <c r="AA234"/>
  <c r="Z221"/>
  <c r="Z20" i="17"/>
  <c r="Z132" s="1"/>
  <c r="Z218" i="12"/>
  <c r="Z126"/>
  <c r="AA231"/>
  <c r="Z128"/>
  <c r="Z169"/>
  <c r="Z17" i="17"/>
  <c r="Z128" s="1"/>
  <c r="Z127"/>
  <c r="Z122" i="12"/>
  <c r="Z124"/>
  <c r="Z174" i="17"/>
  <c r="AA234"/>
  <c r="Z215" i="12"/>
  <c r="Z181"/>
  <c r="Z198"/>
  <c r="Z55"/>
  <c r="Z214"/>
  <c r="Z199"/>
  <c r="Z189"/>
  <c r="Z191"/>
  <c r="Z193"/>
  <c r="Z192"/>
  <c r="Z190"/>
  <c r="Z197"/>
  <c r="Z182"/>
  <c r="Z171"/>
  <c r="Z196"/>
  <c r="Z188"/>
  <c r="Y145" i="17"/>
  <c r="Y140" i="12"/>
  <c r="Z118"/>
  <c r="Y99" i="17"/>
  <c r="Z123" s="1"/>
  <c r="Y128"/>
  <c r="Y123" i="12"/>
  <c r="Z173"/>
  <c r="Y87" i="17"/>
  <c r="Y141" s="1"/>
  <c r="Y137" i="12"/>
  <c r="Y142" i="17"/>
  <c r="Y140"/>
  <c r="Y135" i="12"/>
  <c r="Z237"/>
  <c r="Y133"/>
  <c r="Y137" i="17"/>
  <c r="Y81"/>
  <c r="Y138" s="1"/>
  <c r="Y217" i="12"/>
  <c r="Y132"/>
  <c r="Y128"/>
  <c r="Y136" i="17"/>
  <c r="Y131" i="12"/>
  <c r="Y130"/>
  <c r="Z230"/>
  <c r="Y77" i="17"/>
  <c r="Y221" s="1"/>
  <c r="Y156"/>
  <c r="Y70"/>
  <c r="Z248" i="12"/>
  <c r="Y149"/>
  <c r="Z246"/>
  <c r="Y68" i="17"/>
  <c r="Y66"/>
  <c r="Y134" s="1"/>
  <c r="Y159" i="12"/>
  <c r="Y59"/>
  <c r="Y162"/>
  <c r="Y165"/>
  <c r="Y169" i="17"/>
  <c r="Y161" i="12"/>
  <c r="Y164"/>
  <c r="Y163"/>
  <c r="Z117"/>
  <c r="Y163" i="17"/>
  <c r="Y157" i="12"/>
  <c r="Y158"/>
  <c r="Y40" i="17"/>
  <c r="Y117" i="12"/>
  <c r="Y160"/>
  <c r="Y156"/>
  <c r="Y160" i="17"/>
  <c r="Y155" i="12"/>
  <c r="Y121"/>
  <c r="Y158" i="17"/>
  <c r="Y30"/>
  <c r="Y153" i="12"/>
  <c r="Y157" i="17"/>
  <c r="Y154"/>
  <c r="Y150" i="12"/>
  <c r="Z247" i="17"/>
  <c r="Y151" i="12"/>
  <c r="Y143"/>
  <c r="Y27" i="17"/>
  <c r="Z246" s="1"/>
  <c r="Z240" i="12"/>
  <c r="Y26" i="17"/>
  <c r="Y25"/>
  <c r="Y144" s="1"/>
  <c r="Z244"/>
  <c r="Y141" i="12"/>
  <c r="Y225"/>
  <c r="Y147" i="17"/>
  <c r="Y142" i="12"/>
  <c r="Y170"/>
  <c r="Z235"/>
  <c r="Y223"/>
  <c r="Y144"/>
  <c r="Y222"/>
  <c r="Y22" i="17"/>
  <c r="Z236" i="12"/>
  <c r="Y146"/>
  <c r="Y221"/>
  <c r="Y171"/>
  <c r="Y19" i="17"/>
  <c r="Y218" i="12"/>
  <c r="Y126"/>
  <c r="Z231"/>
  <c r="Y127"/>
  <c r="Y18" i="17"/>
  <c r="Y10" s="1"/>
  <c r="Y169" i="12"/>
  <c r="Y127" i="17"/>
  <c r="Y129"/>
  <c r="Y130"/>
  <c r="Y124" i="12"/>
  <c r="Y110"/>
  <c r="Y125"/>
  <c r="Y189"/>
  <c r="Y197"/>
  <c r="Y180"/>
  <c r="Y191"/>
  <c r="Y192"/>
  <c r="Y199"/>
  <c r="Y198"/>
  <c r="Y215"/>
  <c r="Y116"/>
  <c r="Y196"/>
  <c r="Y214"/>
  <c r="Y190"/>
  <c r="Y55"/>
  <c r="Z228"/>
  <c r="Y195"/>
  <c r="X145" i="17"/>
  <c r="X172" i="12"/>
  <c r="Y172"/>
  <c r="Y118"/>
  <c r="X163"/>
  <c r="X160"/>
  <c r="X144" i="17"/>
  <c r="X173" i="12"/>
  <c r="X128" i="17"/>
  <c r="Y173" i="12"/>
  <c r="X138"/>
  <c r="X165"/>
  <c r="X142" i="17"/>
  <c r="X141"/>
  <c r="Y237" i="12"/>
  <c r="X83" i="17"/>
  <c r="X221" i="12"/>
  <c r="X134"/>
  <c r="X135"/>
  <c r="X82" i="17"/>
  <c r="X138" s="1"/>
  <c r="X137"/>
  <c r="Y238"/>
  <c r="X217" i="12"/>
  <c r="Y233"/>
  <c r="X218"/>
  <c r="X132"/>
  <c r="X128"/>
  <c r="X136" i="17"/>
  <c r="X131" i="12"/>
  <c r="X135" i="17"/>
  <c r="Y235"/>
  <c r="X221"/>
  <c r="X130"/>
  <c r="X130" i="12"/>
  <c r="X125"/>
  <c r="X215"/>
  <c r="Y230"/>
  <c r="W147" i="17"/>
  <c r="W145"/>
  <c r="W142" i="12"/>
  <c r="W123"/>
  <c r="W159"/>
  <c r="W164" i="17"/>
  <c r="W169"/>
  <c r="W161" i="12"/>
  <c r="W162"/>
  <c r="X117"/>
  <c r="W163"/>
  <c r="W41" i="17"/>
  <c r="W158" i="12"/>
  <c r="W165" i="17"/>
  <c r="W160" i="12"/>
  <c r="W39" i="17"/>
  <c r="W161"/>
  <c r="W156" i="12"/>
  <c r="W160" i="17"/>
  <c r="W155" i="12"/>
  <c r="W154"/>
  <c r="W159" i="17"/>
  <c r="W121" i="12"/>
  <c r="W30" i="17"/>
  <c r="W158"/>
  <c r="W153" i="12"/>
  <c r="W27" i="17"/>
  <c r="W171"/>
  <c r="X236" i="12"/>
  <c r="X240"/>
  <c r="W146" i="17"/>
  <c r="X238" i="12"/>
  <c r="W147"/>
  <c r="W145"/>
  <c r="W22" i="17"/>
  <c r="W110" i="12"/>
  <c r="W223"/>
  <c r="W146"/>
  <c r="W144"/>
  <c r="W170"/>
  <c r="W225"/>
  <c r="W212"/>
  <c r="W210"/>
  <c r="W211"/>
  <c r="W208"/>
  <c r="W207"/>
  <c r="W209"/>
  <c r="W116"/>
  <c r="W221"/>
  <c r="W171"/>
  <c r="W131" i="17"/>
  <c r="X237"/>
  <c r="W132"/>
  <c r="W133"/>
  <c r="W128" i="12"/>
  <c r="W126"/>
  <c r="W218"/>
  <c r="W169"/>
  <c r="W122"/>
  <c r="W125"/>
  <c r="W11" i="17"/>
  <c r="W124" i="12"/>
  <c r="W216"/>
  <c r="V147" i="17"/>
  <c r="V145"/>
  <c r="V140" i="12"/>
  <c r="V163"/>
  <c r="V144" i="17"/>
  <c r="V115" i="12"/>
  <c r="V138"/>
  <c r="V123"/>
  <c r="V128" i="17"/>
  <c r="W173" i="12"/>
  <c r="V137"/>
  <c r="V136"/>
  <c r="W243"/>
  <c r="V86" i="17"/>
  <c r="V228"/>
  <c r="V139"/>
  <c r="W242"/>
  <c r="V140"/>
  <c r="V134" i="12"/>
  <c r="V147"/>
  <c r="V135"/>
  <c r="V221"/>
  <c r="V80" i="17"/>
  <c r="V133" s="1"/>
  <c r="V131" i="12"/>
  <c r="V136" i="17"/>
  <c r="V135"/>
  <c r="V130" i="12"/>
  <c r="V215"/>
  <c r="W252" i="17"/>
  <c r="V70"/>
  <c r="W247" i="12"/>
  <c r="V68" i="17"/>
  <c r="V224" i="12"/>
  <c r="V145"/>
  <c r="V159"/>
  <c r="V129"/>
  <c r="V58"/>
  <c r="V59"/>
  <c r="V165"/>
  <c r="V169" i="17"/>
  <c r="V164" i="12"/>
  <c r="V161"/>
  <c r="W172"/>
  <c r="W117"/>
  <c r="V162"/>
  <c r="V163" i="17"/>
  <c r="V158" i="12"/>
  <c r="V160"/>
  <c r="V40" i="17"/>
  <c r="V157" i="12"/>
  <c r="V38" i="17"/>
  <c r="V161" s="1"/>
  <c r="V159"/>
  <c r="V154" i="12"/>
  <c r="V30" i="17"/>
  <c r="V153" i="12"/>
  <c r="V121"/>
  <c r="V155" i="17"/>
  <c r="V154"/>
  <c r="V156"/>
  <c r="W247"/>
  <c r="V151" i="12"/>
  <c r="W242"/>
  <c r="V150"/>
  <c r="V149"/>
  <c r="V143"/>
  <c r="V246" i="17"/>
  <c r="V166" i="12"/>
  <c r="V144"/>
  <c r="V26" i="17"/>
  <c r="V149" s="1"/>
  <c r="V240" i="12"/>
  <c r="V139"/>
  <c r="W239"/>
  <c r="V146" i="17"/>
  <c r="W243"/>
  <c r="V142" i="12"/>
  <c r="V223"/>
  <c r="V225"/>
  <c r="W236"/>
  <c r="W240" i="17"/>
  <c r="V153"/>
  <c r="V152"/>
  <c r="V148" i="12"/>
  <c r="W235"/>
  <c r="V170"/>
  <c r="V21" i="17"/>
  <c r="V175"/>
  <c r="V222" i="12"/>
  <c r="V146"/>
  <c r="V151" i="17"/>
  <c r="V115"/>
  <c r="V220" i="12"/>
  <c r="V116"/>
  <c r="V132" i="17"/>
  <c r="V127" i="12"/>
  <c r="V219"/>
  <c r="V232"/>
  <c r="V237" i="17"/>
  <c r="V217" i="12"/>
  <c r="V10" i="17"/>
  <c r="V48" s="1"/>
  <c r="V126" i="12"/>
  <c r="V128"/>
  <c r="V127" i="17"/>
  <c r="V124" i="12"/>
  <c r="V51" i="17"/>
  <c r="V130"/>
  <c r="V216" i="12"/>
  <c r="V174" i="17"/>
  <c r="V221"/>
  <c r="V169" i="12"/>
  <c r="V110"/>
  <c r="V52" i="17"/>
  <c r="V129"/>
  <c r="V125" i="12"/>
  <c r="V194"/>
  <c r="V55"/>
  <c r="V198"/>
  <c r="V180"/>
  <c r="V199"/>
  <c r="V182"/>
  <c r="V197"/>
  <c r="V181"/>
  <c r="V191"/>
  <c r="V189"/>
  <c r="V171"/>
  <c r="V214"/>
  <c r="V192"/>
  <c r="W228"/>
  <c r="V188"/>
  <c r="U145" i="17"/>
  <c r="U140" i="12"/>
  <c r="V172"/>
  <c r="V118"/>
  <c r="V117"/>
  <c r="U144" i="17"/>
  <c r="U173" i="12"/>
  <c r="U92" i="17"/>
  <c r="U120" s="1"/>
  <c r="U115" i="12"/>
  <c r="U123"/>
  <c r="V173"/>
  <c r="V248" i="17"/>
  <c r="U142"/>
  <c r="U141"/>
  <c r="U136" i="12"/>
  <c r="U137"/>
  <c r="U135"/>
  <c r="V237"/>
  <c r="U221"/>
  <c r="U83" i="17"/>
  <c r="U137"/>
  <c r="U133" i="12"/>
  <c r="U81" i="17"/>
  <c r="U138" s="1"/>
  <c r="V238"/>
  <c r="V233" i="12"/>
  <c r="U217"/>
  <c r="U215"/>
  <c r="U131"/>
  <c r="U78" i="17"/>
  <c r="U216" i="12"/>
  <c r="U130"/>
  <c r="V230"/>
  <c r="U150"/>
  <c r="U72" i="17"/>
  <c r="V253" s="1"/>
  <c r="V252"/>
  <c r="V247" i="12"/>
  <c r="U69" i="17"/>
  <c r="V251" s="1"/>
  <c r="V246" i="12"/>
  <c r="U225"/>
  <c r="U229" i="17"/>
  <c r="V245" i="12"/>
  <c r="H18" i="19"/>
  <c r="U66" i="17"/>
  <c r="U164" s="1"/>
  <c r="U129" i="12"/>
  <c r="U65" i="17"/>
  <c r="U59" i="12"/>
  <c r="U181"/>
  <c r="U165"/>
  <c r="U169" i="17"/>
  <c r="U46"/>
  <c r="U163" i="12"/>
  <c r="U162"/>
  <c r="U41" i="17"/>
  <c r="U158" i="12"/>
  <c r="U172"/>
  <c r="U116"/>
  <c r="U161" i="17"/>
  <c r="U155" i="12"/>
  <c r="U35" i="17"/>
  <c r="U160" s="1"/>
  <c r="U117" i="12"/>
  <c r="U159" i="17"/>
  <c r="U34"/>
  <c r="U121" i="12"/>
  <c r="U30" i="17"/>
  <c r="U158"/>
  <c r="U153" i="12"/>
  <c r="U149"/>
  <c r="U151"/>
  <c r="U152"/>
  <c r="U28" i="17"/>
  <c r="U247" s="1"/>
  <c r="V242" i="12"/>
  <c r="U246" i="17"/>
  <c r="V241" i="12"/>
  <c r="U241"/>
  <c r="U166"/>
  <c r="U26" i="17"/>
  <c r="U143" i="12"/>
  <c r="U141"/>
  <c r="U142"/>
  <c r="U144"/>
  <c r="U146" i="17"/>
  <c r="V235" i="12"/>
  <c r="U147"/>
  <c r="V236"/>
  <c r="U22" i="17"/>
  <c r="U236" i="12"/>
  <c r="U222"/>
  <c r="U209" s="1"/>
  <c r="U223"/>
  <c r="U170"/>
  <c r="U235"/>
  <c r="U110"/>
  <c r="U145"/>
  <c r="U148"/>
  <c r="U219"/>
  <c r="U127"/>
  <c r="U218"/>
  <c r="U18" i="17"/>
  <c r="V231" i="12"/>
  <c r="U17" i="17"/>
  <c r="U128" s="1"/>
  <c r="U127"/>
  <c r="U122" i="12"/>
  <c r="U169"/>
  <c r="U11" i="17"/>
  <c r="U124" i="12"/>
  <c r="U125"/>
  <c r="V229"/>
  <c r="U55"/>
  <c r="U191"/>
  <c r="U193"/>
  <c r="U196"/>
  <c r="U180"/>
  <c r="U182"/>
  <c r="V228"/>
  <c r="U183"/>
  <c r="U189"/>
  <c r="U171"/>
  <c r="U214"/>
  <c r="T117"/>
  <c r="T140"/>
  <c r="T100" i="17"/>
  <c r="T145" s="1"/>
  <c r="U118" i="12"/>
  <c r="T172"/>
  <c r="T160"/>
  <c r="T139"/>
  <c r="T173"/>
  <c r="T128" i="17"/>
  <c r="T123" i="12"/>
  <c r="T138"/>
  <c r="U119"/>
  <c r="T135" i="17"/>
  <c r="T130"/>
  <c r="U235"/>
  <c r="T221"/>
  <c r="U230" i="12"/>
  <c r="T216"/>
  <c r="T181"/>
  <c r="T58"/>
  <c r="T154" i="17"/>
  <c r="T21"/>
  <c r="T155"/>
  <c r="T175"/>
  <c r="T157"/>
  <c r="T247"/>
  <c r="T156"/>
  <c r="T242" i="12"/>
  <c r="T152"/>
  <c r="T151"/>
  <c r="T170"/>
  <c r="T149"/>
  <c r="T150"/>
  <c r="T141"/>
  <c r="T225"/>
  <c r="U238"/>
  <c r="T142"/>
  <c r="T23" i="17"/>
  <c r="T171" i="12"/>
  <c r="U234"/>
  <c r="T116"/>
  <c r="T221"/>
  <c r="T195" s="1"/>
  <c r="T220"/>
  <c r="U194" s="1"/>
  <c r="T193"/>
  <c r="T206"/>
  <c r="T19" i="17"/>
  <c r="T232" i="12"/>
  <c r="U232"/>
  <c r="T55"/>
  <c r="T191"/>
  <c r="U231"/>
  <c r="T127"/>
  <c r="T231"/>
  <c r="T18" i="17"/>
  <c r="T128" i="12"/>
  <c r="T218"/>
  <c r="T126"/>
  <c r="T122"/>
  <c r="T127" i="17"/>
  <c r="T124" i="12"/>
  <c r="T12" i="17"/>
  <c r="T129" s="1"/>
  <c r="S145"/>
  <c r="S140" i="12"/>
  <c r="S148"/>
  <c r="S132"/>
  <c r="S218"/>
  <c r="S80" i="17"/>
  <c r="S128" i="12"/>
  <c r="S215"/>
  <c r="T189" s="1"/>
  <c r="S251" i="17"/>
  <c r="S59" i="12"/>
  <c r="S183"/>
  <c r="S39" i="17"/>
  <c r="S155" i="12"/>
  <c r="S160" i="17"/>
  <c r="S117" i="12"/>
  <c r="S55"/>
  <c r="T236"/>
  <c r="S147"/>
  <c r="S145"/>
  <c r="S223"/>
  <c r="S222"/>
  <c r="T196" s="1"/>
  <c r="S144"/>
  <c r="S22" i="17"/>
  <c r="S110" i="12"/>
  <c r="S225"/>
  <c r="S170"/>
  <c r="S231"/>
  <c r="S204"/>
  <c r="R144" i="17"/>
  <c r="R128"/>
  <c r="R251"/>
  <c r="R46"/>
  <c r="R169" s="1"/>
  <c r="R121" i="12"/>
  <c r="R156" i="17"/>
  <c r="R150" i="12"/>
  <c r="R151"/>
  <c r="R152"/>
  <c r="R26" i="17"/>
  <c r="R166" i="12"/>
  <c r="R139"/>
  <c r="R144"/>
  <c r="R142"/>
  <c r="R23" i="17"/>
  <c r="R175"/>
  <c r="R228"/>
  <c r="S236" i="12"/>
  <c r="R223"/>
  <c r="R225"/>
  <c r="R110"/>
  <c r="R227" i="17"/>
  <c r="R149"/>
  <c r="S235" i="12"/>
  <c r="R147"/>
  <c r="R21" i="17"/>
  <c r="R170" i="12"/>
  <c r="R146"/>
  <c r="R209"/>
  <c r="S234"/>
  <c r="R211"/>
  <c r="R171"/>
  <c r="R20" i="17"/>
  <c r="R132" s="1"/>
  <c r="R133"/>
  <c r="R126" i="12"/>
  <c r="R222" i="17"/>
  <c r="R131"/>
  <c r="R128" i="12"/>
  <c r="R218"/>
  <c r="S192" s="1"/>
  <c r="R123"/>
  <c r="R127" i="17"/>
  <c r="R122" i="12"/>
  <c r="S229"/>
  <c r="R124"/>
  <c r="R125"/>
  <c r="R11" i="17"/>
  <c r="R234" s="1"/>
  <c r="R169" i="12"/>
  <c r="R194"/>
  <c r="R183"/>
  <c r="R55"/>
  <c r="R198"/>
  <c r="R214"/>
  <c r="S201" s="1"/>
  <c r="R116"/>
  <c r="R182"/>
  <c r="R228"/>
  <c r="R196"/>
  <c r="S228"/>
  <c r="R215"/>
  <c r="R189" s="1"/>
  <c r="Q142"/>
  <c r="Q145" i="17"/>
  <c r="Q140" i="12"/>
  <c r="Q173"/>
  <c r="Q115"/>
  <c r="Q138"/>
  <c r="Q123"/>
  <c r="R119"/>
  <c r="Q165"/>
  <c r="Q137"/>
  <c r="Q136"/>
  <c r="Q142" i="17"/>
  <c r="Q141"/>
  <c r="R243" i="12"/>
  <c r="Q135"/>
  <c r="Q83" i="17"/>
  <c r="Q134" i="12"/>
  <c r="Q147"/>
  <c r="Q138" i="17"/>
  <c r="Q133" i="12"/>
  <c r="Q132"/>
  <c r="Q137" i="17"/>
  <c r="R233" i="12"/>
  <c r="Q222" i="17"/>
  <c r="Q128" i="12"/>
  <c r="Q136" i="17"/>
  <c r="Q131" i="12"/>
  <c r="R235" i="17"/>
  <c r="Q135"/>
  <c r="Q216" i="12"/>
  <c r="Q190" s="1"/>
  <c r="Q130"/>
  <c r="R248"/>
  <c r="Q149"/>
  <c r="Q70" i="17"/>
  <c r="Q251"/>
  <c r="Q68"/>
  <c r="R245" i="12"/>
  <c r="H14" i="19"/>
  <c r="Q245" i="12"/>
  <c r="Q134" i="17"/>
  <c r="Q129" i="12"/>
  <c r="Q58"/>
  <c r="Q164"/>
  <c r="Q161"/>
  <c r="Q162"/>
  <c r="Q163"/>
  <c r="Q41" i="17"/>
  <c r="Q156" i="12"/>
  <c r="Q121"/>
  <c r="Q37" i="17"/>
  <c r="Q161" s="1"/>
  <c r="Q155" i="12"/>
  <c r="Q36" i="17"/>
  <c r="Q160" s="1"/>
  <c r="Q159"/>
  <c r="Q31"/>
  <c r="Q21"/>
  <c r="Q157"/>
  <c r="Q155"/>
  <c r="Q175"/>
  <c r="Q154"/>
  <c r="Q156"/>
  <c r="R247"/>
  <c r="R242" i="12"/>
  <c r="Q150"/>
  <c r="Q151"/>
  <c r="Q152"/>
  <c r="Q143"/>
  <c r="Q27" i="17"/>
  <c r="Q166" i="12"/>
  <c r="R236"/>
  <c r="R240"/>
  <c r="Q141"/>
  <c r="Q23" i="17"/>
  <c r="Q149" s="1"/>
  <c r="R238" i="12"/>
  <c r="Q153" i="17"/>
  <c r="Q223" i="12"/>
  <c r="Q144"/>
  <c r="Q148"/>
  <c r="R235"/>
  <c r="Q170"/>
  <c r="Q227" i="17"/>
  <c r="Q145" i="12"/>
  <c r="Q225"/>
  <c r="R234"/>
  <c r="Q221"/>
  <c r="Q234"/>
  <c r="Q127"/>
  <c r="Q224" i="17"/>
  <c r="R237"/>
  <c r="Q131"/>
  <c r="R232" i="12"/>
  <c r="Q232"/>
  <c r="Q237" i="17"/>
  <c r="Q133"/>
  <c r="R236"/>
  <c r="Q126" i="12"/>
  <c r="R231"/>
  <c r="Q217"/>
  <c r="Q17" i="17"/>
  <c r="Q128" s="1"/>
  <c r="Q122" i="12"/>
  <c r="Q14" i="17"/>
  <c r="Q127" s="1"/>
  <c r="Q10"/>
  <c r="Q221"/>
  <c r="Q51"/>
  <c r="Q174"/>
  <c r="Q130"/>
  <c r="Q125" i="12"/>
  <c r="R229"/>
  <c r="Q169"/>
  <c r="Q124"/>
  <c r="Q110"/>
  <c r="Q180"/>
  <c r="Q198"/>
  <c r="Q182"/>
  <c r="Q214"/>
  <c r="Q181"/>
  <c r="Q55"/>
  <c r="Q171"/>
  <c r="P145" i="17"/>
  <c r="P140" i="12"/>
  <c r="Q118"/>
  <c r="P144" i="17"/>
  <c r="P128"/>
  <c r="P123" i="12"/>
  <c r="P138"/>
  <c r="Q119"/>
  <c r="P136"/>
  <c r="P137"/>
  <c r="P135"/>
  <c r="Q237"/>
  <c r="P221"/>
  <c r="P134"/>
  <c r="P83" i="17"/>
  <c r="P228" s="1"/>
  <c r="P138"/>
  <c r="P133" i="12"/>
  <c r="P137" i="17"/>
  <c r="Q238"/>
  <c r="P132" i="12"/>
  <c r="P136" i="17"/>
  <c r="P131" i="12"/>
  <c r="P130"/>
  <c r="P150"/>
  <c r="P72" i="17"/>
  <c r="Q253" s="1"/>
  <c r="P71"/>
  <c r="Q246" i="12"/>
  <c r="P246"/>
  <c r="P251" i="17"/>
  <c r="P245" i="12"/>
  <c r="P68" i="17"/>
  <c r="P250" s="1"/>
  <c r="P224" i="12"/>
  <c r="P198" s="1"/>
  <c r="P134" i="17"/>
  <c r="P159" i="12"/>
  <c r="P59"/>
  <c r="P165"/>
  <c r="P162"/>
  <c r="P164"/>
  <c r="P161"/>
  <c r="P45" i="17"/>
  <c r="P169" s="1"/>
  <c r="Q117" i="12"/>
  <c r="P163"/>
  <c r="Q172"/>
  <c r="P163" i="17"/>
  <c r="P40"/>
  <c r="P157" i="12"/>
  <c r="P161" i="17"/>
  <c r="P156" i="12"/>
  <c r="P155"/>
  <c r="P35" i="17"/>
  <c r="P160" s="1"/>
  <c r="P154" i="12"/>
  <c r="P33" i="17"/>
  <c r="P159" s="1"/>
  <c r="P121" i="12"/>
  <c r="P158" i="17"/>
  <c r="P153" i="12"/>
  <c r="P120"/>
  <c r="P242"/>
  <c r="Q242"/>
  <c r="P28" i="17"/>
  <c r="P175" s="1"/>
  <c r="P151" i="12"/>
  <c r="P170"/>
  <c r="P166"/>
  <c r="P143"/>
  <c r="P26" i="17"/>
  <c r="Q241" s="1"/>
  <c r="P139" i="12"/>
  <c r="Q239"/>
  <c r="P141"/>
  <c r="P146" i="17"/>
  <c r="P142" i="12"/>
  <c r="P153" i="17"/>
  <c r="P144" i="12"/>
  <c r="P225"/>
  <c r="Q236"/>
  <c r="Q240" i="17"/>
  <c r="P145" i="12"/>
  <c r="P148"/>
  <c r="Q235"/>
  <c r="P236"/>
  <c r="P227" i="17"/>
  <c r="P222" i="12"/>
  <c r="P223"/>
  <c r="P110"/>
  <c r="P171"/>
  <c r="P220"/>
  <c r="P194" s="1"/>
  <c r="P116"/>
  <c r="P20" i="17"/>
  <c r="P219" i="12"/>
  <c r="P193" s="1"/>
  <c r="P218"/>
  <c r="Q192" s="1"/>
  <c r="P224" i="17"/>
  <c r="P217" i="12"/>
  <c r="Q231"/>
  <c r="P18" i="17"/>
  <c r="P236" s="1"/>
  <c r="P126" i="12"/>
  <c r="P122"/>
  <c r="P14" i="17"/>
  <c r="P127" s="1"/>
  <c r="P124" i="12"/>
  <c r="P11" i="17"/>
  <c r="P229" i="12"/>
  <c r="P125"/>
  <c r="Q229"/>
  <c r="P55"/>
  <c r="P169"/>
  <c r="P206"/>
  <c r="P188"/>
  <c r="P201"/>
  <c r="P183"/>
  <c r="P181"/>
  <c r="P215"/>
  <c r="Q189" s="1"/>
  <c r="P182"/>
  <c r="P180"/>
  <c r="Q228"/>
  <c r="O140"/>
  <c r="O101" i="17"/>
  <c r="O145" s="1"/>
  <c r="P118" i="12"/>
  <c r="P117"/>
  <c r="O173"/>
  <c r="O115"/>
  <c r="O138"/>
  <c r="O123"/>
  <c r="P119"/>
  <c r="O165"/>
  <c r="P173"/>
  <c r="O88" i="17"/>
  <c r="O136" i="12"/>
  <c r="O86" i="17"/>
  <c r="O135" i="12"/>
  <c r="O83" i="17"/>
  <c r="O152" s="1"/>
  <c r="O134" i="12"/>
  <c r="O223"/>
  <c r="O221"/>
  <c r="P195" s="1"/>
  <c r="O138" i="17"/>
  <c r="O137"/>
  <c r="O133" i="12"/>
  <c r="O132"/>
  <c r="O128"/>
  <c r="O136" i="17"/>
  <c r="O131" i="12"/>
  <c r="O130"/>
  <c r="O77" i="17"/>
  <c r="O216" i="12"/>
  <c r="P248"/>
  <c r="O70" i="17"/>
  <c r="O251"/>
  <c r="O66"/>
  <c r="O164" s="1"/>
  <c r="O182" i="12"/>
  <c r="O58"/>
  <c r="O169" i="17"/>
  <c r="O161" i="12"/>
  <c r="P172"/>
  <c r="O163"/>
  <c r="O163" i="17"/>
  <c r="O158" i="12"/>
  <c r="O39" i="17"/>
  <c r="O162"/>
  <c r="O165"/>
  <c r="O157" i="12"/>
  <c r="O172"/>
  <c r="O159"/>
  <c r="O156"/>
  <c r="O160" i="17"/>
  <c r="O155" i="12"/>
  <c r="O117"/>
  <c r="O159" i="17"/>
  <c r="O154" i="12"/>
  <c r="O153"/>
  <c r="O121"/>
  <c r="O31" i="17"/>
  <c r="O154"/>
  <c r="O247"/>
  <c r="O156"/>
  <c r="O157"/>
  <c r="O155"/>
  <c r="O152" i="12"/>
  <c r="O149"/>
  <c r="O151"/>
  <c r="O170"/>
  <c r="O242"/>
  <c r="O150"/>
  <c r="O27" i="17"/>
  <c r="P246" s="1"/>
  <c r="P241" i="12"/>
  <c r="O166"/>
  <c r="O143"/>
  <c r="P240"/>
  <c r="O26" i="17"/>
  <c r="O240" i="12"/>
  <c r="O25" i="17"/>
  <c r="O144" s="1"/>
  <c r="O146"/>
  <c r="O147"/>
  <c r="P243"/>
  <c r="O141" i="12"/>
  <c r="O142"/>
  <c r="O230" i="17"/>
  <c r="O236" i="12"/>
  <c r="O144"/>
  <c r="O222"/>
  <c r="O196" s="1"/>
  <c r="P241" i="17"/>
  <c r="O21"/>
  <c r="P240"/>
  <c r="O151"/>
  <c r="O150"/>
  <c r="P235" i="12"/>
  <c r="O225"/>
  <c r="O147"/>
  <c r="O227" i="17"/>
  <c r="O175"/>
  <c r="O235" i="12"/>
  <c r="O145"/>
  <c r="O146"/>
  <c r="O211"/>
  <c r="P234"/>
  <c r="O234"/>
  <c r="O116"/>
  <c r="O127"/>
  <c r="P237" i="17"/>
  <c r="O237"/>
  <c r="O224"/>
  <c r="O232" i="12"/>
  <c r="P232"/>
  <c r="O131" i="17"/>
  <c r="O223"/>
  <c r="O132"/>
  <c r="O222"/>
  <c r="O133"/>
  <c r="O218" i="12"/>
  <c r="O205" s="1"/>
  <c r="P231"/>
  <c r="O231"/>
  <c r="O217"/>
  <c r="O204" s="1"/>
  <c r="O126"/>
  <c r="O17" i="17"/>
  <c r="O128" s="1"/>
  <c r="O122" i="12"/>
  <c r="O14" i="17"/>
  <c r="O127" s="1"/>
  <c r="O169" i="12"/>
  <c r="O110"/>
  <c r="O55"/>
  <c r="O11" i="17"/>
  <c r="O124" i="12"/>
  <c r="O201"/>
  <c r="O206"/>
  <c r="O228"/>
  <c r="O180"/>
  <c r="O192"/>
  <c r="P228"/>
  <c r="O183"/>
  <c r="O215"/>
  <c r="O198"/>
  <c r="O171"/>
  <c r="O188"/>
  <c r="O181"/>
  <c r="O194"/>
  <c r="O193"/>
  <c r="N172"/>
  <c r="N142"/>
  <c r="N145" i="17"/>
  <c r="N140" i="12"/>
  <c r="O118"/>
  <c r="N163"/>
  <c r="N160"/>
  <c r="N144" i="17"/>
  <c r="N173" i="12"/>
  <c r="N92" i="17"/>
  <c r="N138" i="12"/>
  <c r="N142" i="17"/>
  <c r="N136" i="12"/>
  <c r="N141" i="17"/>
  <c r="N137" i="12"/>
  <c r="N135"/>
  <c r="N139" i="17"/>
  <c r="N221" i="12"/>
  <c r="N223"/>
  <c r="O210" s="1"/>
  <c r="N134"/>
  <c r="N133" i="17"/>
  <c r="O238"/>
  <c r="N217" i="12"/>
  <c r="N132"/>
  <c r="N128"/>
  <c r="O233"/>
  <c r="N218"/>
  <c r="N131"/>
  <c r="N78" i="17"/>
  <c r="N136" s="1"/>
  <c r="O235"/>
  <c r="N221"/>
  <c r="N130"/>
  <c r="N130" i="12"/>
  <c r="N216"/>
  <c r="O190" s="1"/>
  <c r="N215"/>
  <c r="N155" i="17"/>
  <c r="N150" i="12"/>
  <c r="O248"/>
  <c r="O252" i="17"/>
  <c r="N146" i="12"/>
  <c r="O247"/>
  <c r="O246"/>
  <c r="N225"/>
  <c r="N246"/>
  <c r="N251" i="17"/>
  <c r="O250"/>
  <c r="O245" i="12"/>
  <c r="N145"/>
  <c r="I10" i="19"/>
  <c r="N211" i="12"/>
  <c r="N129"/>
  <c r="N129" i="17"/>
  <c r="M221"/>
  <c r="M135"/>
  <c r="M130" i="12"/>
  <c r="N230"/>
  <c r="M215"/>
  <c r="M151"/>
  <c r="M150"/>
  <c r="M155" i="17"/>
  <c r="N253"/>
  <c r="M154"/>
  <c r="N248" i="12"/>
  <c r="M146"/>
  <c r="M71" i="17"/>
  <c r="M251"/>
  <c r="N245" i="12"/>
  <c r="M225"/>
  <c r="N212" s="1"/>
  <c r="M68" i="17"/>
  <c r="M224" i="12"/>
  <c r="M145"/>
  <c r="M134" i="17"/>
  <c r="M129" i="12"/>
  <c r="M159"/>
  <c r="M181"/>
  <c r="M183"/>
  <c r="M42" i="17"/>
  <c r="M163" s="1"/>
  <c r="M121" i="12"/>
  <c r="M172"/>
  <c r="M21" i="17"/>
  <c r="M156"/>
  <c r="M148"/>
  <c r="N246"/>
  <c r="M237"/>
  <c r="M54"/>
  <c r="M127"/>
  <c r="M203" i="12"/>
  <c r="L140"/>
  <c r="L100" i="17"/>
  <c r="L145" s="1"/>
  <c r="L163" i="12"/>
  <c r="M117"/>
  <c r="L99" i="17"/>
  <c r="M118" i="12"/>
  <c r="L160"/>
  <c r="L148"/>
  <c r="L93" i="17"/>
  <c r="L144" s="1"/>
  <c r="L120"/>
  <c r="L138" i="12"/>
  <c r="L115"/>
  <c r="L173"/>
  <c r="L123"/>
  <c r="L86" i="17"/>
  <c r="L136" i="12"/>
  <c r="L152"/>
  <c r="L134"/>
  <c r="L195"/>
  <c r="M237"/>
  <c r="L135"/>
  <c r="L83" i="17"/>
  <c r="L223" i="12"/>
  <c r="M210" s="1"/>
  <c r="L138" i="17"/>
  <c r="L133" i="12"/>
  <c r="L132"/>
  <c r="L218"/>
  <c r="L217"/>
  <c r="M191" s="1"/>
  <c r="M233"/>
  <c r="L80" i="17"/>
  <c r="L215" i="12"/>
  <c r="L253" i="17"/>
  <c r="L128"/>
  <c r="L129"/>
  <c r="L124" i="12"/>
  <c r="K142"/>
  <c r="K163"/>
  <c r="K98" i="17"/>
  <c r="K165" s="1"/>
  <c r="K128"/>
  <c r="K251"/>
  <c r="K169"/>
  <c r="K164" i="12"/>
  <c r="K161"/>
  <c r="K162"/>
  <c r="L172"/>
  <c r="K158"/>
  <c r="K41" i="17"/>
  <c r="K163" s="1"/>
  <c r="K157" i="12"/>
  <c r="K172"/>
  <c r="K39" i="17"/>
  <c r="K159" i="12"/>
  <c r="K160" i="17"/>
  <c r="K117" i="12"/>
  <c r="K155"/>
  <c r="K154"/>
  <c r="K121"/>
  <c r="K33" i="17"/>
  <c r="K159" s="1"/>
  <c r="K153" i="12"/>
  <c r="K31" i="17"/>
  <c r="K151" i="12"/>
  <c r="K149"/>
  <c r="K28" i="17"/>
  <c r="K21" s="1"/>
  <c r="L242" i="12"/>
  <c r="K170"/>
  <c r="K171" i="17"/>
  <c r="K148"/>
  <c r="L245"/>
  <c r="L240" i="12"/>
  <c r="K245" i="17"/>
  <c r="K166" i="12"/>
  <c r="L239"/>
  <c r="K141"/>
  <c r="L238"/>
  <c r="K23" i="17"/>
  <c r="K230" s="1"/>
  <c r="L241"/>
  <c r="K151"/>
  <c r="K241"/>
  <c r="L240"/>
  <c r="K150"/>
  <c r="K227"/>
  <c r="K240"/>
  <c r="K153"/>
  <c r="K209" i="12"/>
  <c r="K144"/>
  <c r="K225"/>
  <c r="K212" s="1"/>
  <c r="K235"/>
  <c r="K146"/>
  <c r="K145"/>
  <c r="K223"/>
  <c r="K210" s="1"/>
  <c r="L236"/>
  <c r="K148"/>
  <c r="K147"/>
  <c r="K208"/>
  <c r="K207"/>
  <c r="K234"/>
  <c r="L234"/>
  <c r="K211"/>
  <c r="K219"/>
  <c r="L232"/>
  <c r="K218"/>
  <c r="L192" s="1"/>
  <c r="K19" i="17"/>
  <c r="K232" i="12"/>
  <c r="K236" i="17"/>
  <c r="L236"/>
  <c r="K174"/>
  <c r="K132"/>
  <c r="K123" i="12"/>
  <c r="K127" i="17"/>
  <c r="K122" i="12"/>
  <c r="K124"/>
  <c r="K129" i="17"/>
  <c r="L234"/>
  <c r="K110" i="12"/>
  <c r="K216"/>
  <c r="K221" i="17"/>
  <c r="K125" i="12"/>
  <c r="K229"/>
  <c r="K51" i="17"/>
  <c r="K10"/>
  <c r="K194" i="12"/>
  <c r="K182"/>
  <c r="K195"/>
  <c r="K203"/>
  <c r="K55"/>
  <c r="K183"/>
  <c r="K181"/>
  <c r="K180"/>
  <c r="L228"/>
  <c r="K116"/>
  <c r="K171"/>
  <c r="J104" i="17"/>
  <c r="J145"/>
  <c r="J140" i="12"/>
  <c r="J118"/>
  <c r="J123" i="17"/>
  <c r="J139" i="12"/>
  <c r="J144" i="17"/>
  <c r="K119" i="12"/>
  <c r="J165"/>
  <c r="J137"/>
  <c r="J136"/>
  <c r="J74" i="17"/>
  <c r="J155" s="1"/>
  <c r="J70"/>
  <c r="J164"/>
  <c r="J181" i="12"/>
  <c r="J165" i="17"/>
  <c r="J162"/>
  <c r="J149"/>
  <c r="J126" i="12"/>
  <c r="J19" i="17"/>
  <c r="J237" s="1"/>
  <c r="J219" i="12"/>
  <c r="J218"/>
  <c r="K205" s="1"/>
  <c r="J124"/>
  <c r="J12" i="17"/>
  <c r="J125" i="12"/>
  <c r="J11" i="17"/>
  <c r="J110" i="12"/>
  <c r="J229"/>
  <c r="J216"/>
  <c r="K190" s="1"/>
  <c r="J214"/>
  <c r="K188" s="1"/>
  <c r="J116"/>
  <c r="J215"/>
  <c r="J171"/>
  <c r="J182"/>
  <c r="J195"/>
  <c r="K228"/>
  <c r="J55"/>
  <c r="I142"/>
  <c r="I145" i="17"/>
  <c r="I140" i="12"/>
  <c r="J172"/>
  <c r="I123" i="17"/>
  <c r="I118" i="12"/>
  <c r="I96" i="17"/>
  <c r="I153" s="1"/>
  <c r="AC143"/>
  <c r="I93"/>
  <c r="I144" s="1"/>
  <c r="I138" i="12"/>
  <c r="I128" i="17"/>
  <c r="I165" i="12"/>
  <c r="J173"/>
  <c r="I142" i="17"/>
  <c r="I137" i="12"/>
  <c r="I141" i="17"/>
  <c r="J243" i="12"/>
  <c r="I136"/>
  <c r="I135"/>
  <c r="I134"/>
  <c r="J237"/>
  <c r="I83" i="17"/>
  <c r="I228" s="1"/>
  <c r="I133" i="12"/>
  <c r="I81" i="17"/>
  <c r="I138" s="1"/>
  <c r="J238"/>
  <c r="I132" i="12"/>
  <c r="I217"/>
  <c r="J191" s="1"/>
  <c r="I136" i="17"/>
  <c r="I131" i="12"/>
  <c r="I135" i="17"/>
  <c r="I130" i="12"/>
  <c r="J230"/>
  <c r="I151"/>
  <c r="J247"/>
  <c r="I71" i="17"/>
  <c r="I69"/>
  <c r="I246" i="12"/>
  <c r="J245"/>
  <c r="I224"/>
  <c r="I68" i="17"/>
  <c r="I250" s="1"/>
  <c r="I129" i="12"/>
  <c r="I65" i="17"/>
  <c r="I134" s="1"/>
  <c r="I182" i="12"/>
  <c r="I58"/>
  <c r="I164"/>
  <c r="I161"/>
  <c r="I162"/>
  <c r="I163"/>
  <c r="I158"/>
  <c r="I41" i="17"/>
  <c r="I163" s="1"/>
  <c r="I165"/>
  <c r="I39"/>
  <c r="I172" i="12"/>
  <c r="I160"/>
  <c r="AC167" i="17"/>
  <c r="I157" i="12"/>
  <c r="I161" i="17"/>
  <c r="I156" i="12"/>
  <c r="I153"/>
  <c r="I31" i="17"/>
  <c r="I120" i="12"/>
  <c r="I149"/>
  <c r="I242"/>
  <c r="I150"/>
  <c r="I28" i="17"/>
  <c r="I152" i="12"/>
  <c r="I27" i="17"/>
  <c r="I241" i="12"/>
  <c r="J245" i="17"/>
  <c r="I143" i="12"/>
  <c r="I166"/>
  <c r="I147" i="17"/>
  <c r="J243"/>
  <c r="J238" i="12"/>
  <c r="I225"/>
  <c r="I199" s="1"/>
  <c r="I141"/>
  <c r="J240" i="17"/>
  <c r="I149"/>
  <c r="J241"/>
  <c r="I150"/>
  <c r="I227"/>
  <c r="J235" i="12"/>
  <c r="I147"/>
  <c r="I236"/>
  <c r="J236"/>
  <c r="I144"/>
  <c r="I145"/>
  <c r="I222"/>
  <c r="I170"/>
  <c r="I223"/>
  <c r="J197" s="1"/>
  <c r="I220"/>
  <c r="I194" s="1"/>
  <c r="J234"/>
  <c r="I221"/>
  <c r="J208" s="1"/>
  <c r="I127"/>
  <c r="I224" i="17"/>
  <c r="I237"/>
  <c r="I219" i="12"/>
  <c r="I193" s="1"/>
  <c r="J232"/>
  <c r="I126"/>
  <c r="I231"/>
  <c r="I18" i="17"/>
  <c r="J231" i="12"/>
  <c r="AD177" i="17"/>
  <c r="I218" i="12"/>
  <c r="J192" s="1"/>
  <c r="AK167" i="17"/>
  <c r="I128" i="12"/>
  <c r="I127" i="17"/>
  <c r="I122" i="12"/>
  <c r="AD178" i="17"/>
  <c r="I216" i="12"/>
  <c r="AC170" i="17"/>
  <c r="I110" i="12"/>
  <c r="I169"/>
  <c r="I11" i="17"/>
  <c r="I229" i="12"/>
  <c r="I124"/>
  <c r="I188"/>
  <c r="I55"/>
  <c r="J228"/>
  <c r="I181"/>
  <c r="I215"/>
  <c r="I116"/>
  <c r="I214"/>
  <c r="J188" s="1"/>
  <c r="H173"/>
  <c r="H178" i="17"/>
  <c r="I124"/>
  <c r="I119" i="12"/>
  <c r="I173"/>
  <c r="H221"/>
  <c r="H83" i="17"/>
  <c r="I242" s="1"/>
  <c r="I233" i="12"/>
  <c r="I230"/>
  <c r="H72" i="17"/>
  <c r="I253" s="1"/>
  <c r="H71"/>
  <c r="H229"/>
  <c r="H245" i="12"/>
  <c r="H250" i="17"/>
  <c r="I245" i="12"/>
  <c r="AK168" i="17"/>
  <c r="AC168"/>
  <c r="I117" i="12"/>
  <c r="H44" i="17"/>
  <c r="H39"/>
  <c r="H172" i="12"/>
  <c r="H177" i="17"/>
  <c r="H30"/>
  <c r="H170" i="12"/>
  <c r="H27" i="17"/>
  <c r="H241" i="12"/>
  <c r="H24" i="17"/>
  <c r="I244" s="1"/>
  <c r="H225" i="12"/>
  <c r="H223"/>
  <c r="H210" s="1"/>
  <c r="I235"/>
  <c r="H22" i="17"/>
  <c r="H222" i="12"/>
  <c r="H235"/>
  <c r="H194"/>
  <c r="H211"/>
  <c r="H207"/>
  <c r="I234"/>
  <c r="I232"/>
  <c r="H224" i="17"/>
  <c r="H218" i="12"/>
  <c r="H18" i="17"/>
  <c r="H236" s="1"/>
  <c r="H204" i="12"/>
  <c r="H169"/>
  <c r="H11" i="17"/>
  <c r="H216" i="12"/>
  <c r="H198"/>
  <c r="H215"/>
  <c r="H206"/>
  <c r="H202"/>
  <c r="I228"/>
  <c r="H55"/>
  <c r="H193"/>
  <c r="H188"/>
  <c r="H171"/>
  <c r="G217"/>
  <c r="G248"/>
  <c r="G247"/>
  <c r="H246"/>
  <c r="G211"/>
  <c r="G68" i="17"/>
  <c r="G229" s="1"/>
  <c r="G245" i="12"/>
  <c r="G170"/>
  <c r="G225"/>
  <c r="G199" s="1"/>
  <c r="G222"/>
  <c r="G22" i="17"/>
  <c r="G223" i="12"/>
  <c r="G239" i="17"/>
  <c r="G225"/>
  <c r="G226"/>
  <c r="G221" i="12"/>
  <c r="G195" s="1"/>
  <c r="G234"/>
  <c r="G171"/>
  <c r="G19" i="17"/>
  <c r="G222"/>
  <c r="G196" s="1"/>
  <c r="G218" i="12"/>
  <c r="G192" s="1"/>
  <c r="G236" i="17"/>
  <c r="G169" i="12"/>
  <c r="G203" i="17"/>
  <c r="G220"/>
  <c r="G219"/>
  <c r="G190" i="12"/>
  <c r="G198"/>
  <c r="G176" i="17"/>
  <c r="G214" i="12"/>
  <c r="G55"/>
  <c r="G215"/>
  <c r="F173"/>
  <c r="F178" i="17"/>
  <c r="F86"/>
  <c r="G242"/>
  <c r="F221" i="12"/>
  <c r="G238" i="17"/>
  <c r="F215" i="12"/>
  <c r="F189" s="1"/>
  <c r="G230"/>
  <c r="F77" i="17"/>
  <c r="F71"/>
  <c r="G251"/>
  <c r="H251"/>
  <c r="G246" i="12"/>
  <c r="F251" i="17"/>
  <c r="G247"/>
  <c r="H247"/>
  <c r="F175"/>
  <c r="H242" i="12"/>
  <c r="F247" i="17"/>
  <c r="F241" i="12"/>
  <c r="G245" i="17"/>
  <c r="H240" i="12"/>
  <c r="G240"/>
  <c r="H236"/>
  <c r="G239"/>
  <c r="F24" i="17"/>
  <c r="F230"/>
  <c r="F228"/>
  <c r="G240"/>
  <c r="F223" i="12"/>
  <c r="G236"/>
  <c r="F227" i="17"/>
  <c r="F201" s="1"/>
  <c r="G241"/>
  <c r="F222" i="12"/>
  <c r="G235"/>
  <c r="F225"/>
  <c r="F235"/>
  <c r="F212" i="17"/>
  <c r="F220" i="12"/>
  <c r="G207" s="1"/>
  <c r="H234"/>
  <c r="G232"/>
  <c r="F19" i="17"/>
  <c r="F223" s="1"/>
  <c r="F218" i="12"/>
  <c r="F169"/>
  <c r="F217"/>
  <c r="H231"/>
  <c r="G229"/>
  <c r="H229"/>
  <c r="F11" i="17"/>
  <c r="F234" s="1"/>
  <c r="F176"/>
  <c r="F214" i="12"/>
  <c r="F220" i="17"/>
  <c r="F192" i="12"/>
  <c r="F198"/>
  <c r="H228"/>
  <c r="G228"/>
  <c r="F233" i="17"/>
  <c r="F188" i="12"/>
  <c r="F171"/>
  <c r="F55"/>
  <c r="F177" i="17"/>
  <c r="F243" i="12"/>
  <c r="F237"/>
  <c r="E223"/>
  <c r="F233"/>
  <c r="E215"/>
  <c r="E216"/>
  <c r="E77" i="17"/>
  <c r="F230" i="12"/>
  <c r="F245"/>
  <c r="E68" i="17"/>
  <c r="F172" i="12"/>
  <c r="F242"/>
  <c r="F243" i="17"/>
  <c r="E228"/>
  <c r="F202" s="1"/>
  <c r="E175"/>
  <c r="E222" i="12"/>
  <c r="F196" s="1"/>
  <c r="F240" i="17"/>
  <c r="F241"/>
  <c r="E170" i="12"/>
  <c r="F236"/>
  <c r="E225"/>
  <c r="E55"/>
  <c r="F239" i="17"/>
  <c r="E226"/>
  <c r="E225"/>
  <c r="F199" s="1"/>
  <c r="E221" i="12"/>
  <c r="F195" s="1"/>
  <c r="E220"/>
  <c r="F234"/>
  <c r="E171"/>
  <c r="E224" i="17"/>
  <c r="E219" i="12"/>
  <c r="F193" s="1"/>
  <c r="F232"/>
  <c r="F236" i="17"/>
  <c r="E223"/>
  <c r="E222"/>
  <c r="F209" s="1"/>
  <c r="F231" i="12"/>
  <c r="E218"/>
  <c r="E217"/>
  <c r="E169"/>
  <c r="E174" i="17"/>
  <c r="F229" i="12"/>
  <c r="E60" i="17"/>
  <c r="E176"/>
  <c r="F228" i="12"/>
  <c r="Y250" i="17" l="1"/>
  <c r="X229"/>
  <c r="N227"/>
  <c r="N240"/>
  <c r="N51"/>
  <c r="N21"/>
  <c r="AD142"/>
  <c r="AE248"/>
  <c r="AB252"/>
  <c r="AA70"/>
  <c r="AA237"/>
  <c r="Z224"/>
  <c r="M133"/>
  <c r="M137"/>
  <c r="AD229"/>
  <c r="AE250"/>
  <c r="W139"/>
  <c r="X242"/>
  <c r="N131"/>
  <c r="N132"/>
  <c r="N236"/>
  <c r="Y207" i="12"/>
  <c r="Y209"/>
  <c r="Y212"/>
  <c r="V224" i="17"/>
  <c r="W237"/>
  <c r="L147"/>
  <c r="M243"/>
  <c r="L174"/>
  <c r="L115"/>
  <c r="M234"/>
  <c r="L51"/>
  <c r="R138"/>
  <c r="R137"/>
  <c r="S139"/>
  <c r="T242"/>
  <c r="AA209" i="12"/>
  <c r="AA210"/>
  <c r="AA207"/>
  <c r="AA211"/>
  <c r="AA212"/>
  <c r="AB244" i="17"/>
  <c r="AA146"/>
  <c r="T228"/>
  <c r="T151"/>
  <c r="T227"/>
  <c r="M253"/>
  <c r="L70"/>
  <c r="L154"/>
  <c r="J146"/>
  <c r="K243"/>
  <c r="H243"/>
  <c r="G243"/>
  <c r="AH229"/>
  <c r="AI250"/>
  <c r="L229"/>
  <c r="L250"/>
  <c r="AK210" i="12"/>
  <c r="AK209"/>
  <c r="AK212"/>
  <c r="AK211"/>
  <c r="AK208"/>
  <c r="AK207"/>
  <c r="N157" i="17"/>
  <c r="O248"/>
  <c r="R199" i="12"/>
  <c r="L246" i="17"/>
  <c r="T204" i="12"/>
  <c r="N174" i="17"/>
  <c r="F197"/>
  <c r="F197" i="12"/>
  <c r="L206"/>
  <c r="M55" i="17"/>
  <c r="M189" i="12"/>
  <c r="N223" i="17"/>
  <c r="N228"/>
  <c r="O236"/>
  <c r="P196" i="12"/>
  <c r="P199"/>
  <c r="Q243" i="17"/>
  <c r="Q207" i="12"/>
  <c r="V131" i="17"/>
  <c r="X223"/>
  <c r="Y211" i="12"/>
  <c r="Z230" i="17"/>
  <c r="AD230"/>
  <c r="AF130"/>
  <c r="L10"/>
  <c r="M233" s="1"/>
  <c r="K222"/>
  <c r="N52"/>
  <c r="M206" i="12"/>
  <c r="M197"/>
  <c r="N149" i="17"/>
  <c r="L199" i="12"/>
  <c r="N152" i="17"/>
  <c r="X206" i="12"/>
  <c r="S203" i="17"/>
  <c r="N115"/>
  <c r="X127"/>
  <c r="F245"/>
  <c r="I191" i="12"/>
  <c r="I196"/>
  <c r="J251" i="17"/>
  <c r="J189" i="12"/>
  <c r="K193"/>
  <c r="J253" i="17"/>
  <c r="K133"/>
  <c r="K228"/>
  <c r="M201" i="12"/>
  <c r="M59" i="17"/>
  <c r="N230"/>
  <c r="N70"/>
  <c r="N154"/>
  <c r="N205" i="12"/>
  <c r="N222" i="17"/>
  <c r="O208" i="12"/>
  <c r="O209"/>
  <c r="O203"/>
  <c r="AL178" i="17"/>
  <c r="P135"/>
  <c r="P142"/>
  <c r="R188" i="12"/>
  <c r="R240" i="17"/>
  <c r="R238"/>
  <c r="R193" i="12"/>
  <c r="R150" i="17"/>
  <c r="R153"/>
  <c r="R151"/>
  <c r="R241"/>
  <c r="T197" i="12"/>
  <c r="T199"/>
  <c r="X222" i="17"/>
  <c r="Y248"/>
  <c r="Y210" i="12"/>
  <c r="Y208"/>
  <c r="Y139" i="17"/>
  <c r="Z10"/>
  <c r="AA233" s="1"/>
  <c r="Z222"/>
  <c r="Z229"/>
  <c r="AA157"/>
  <c r="AB142"/>
  <c r="AD157"/>
  <c r="AF238"/>
  <c r="AE139"/>
  <c r="AF221"/>
  <c r="AL230"/>
  <c r="O240"/>
  <c r="X158"/>
  <c r="X227"/>
  <c r="AA156"/>
  <c r="N10"/>
  <c r="X21"/>
  <c r="X225" s="1"/>
  <c r="L221"/>
  <c r="M195" s="1"/>
  <c r="M223"/>
  <c r="S57"/>
  <c r="AG139"/>
  <c r="AC206"/>
  <c r="AC210"/>
  <c r="N147"/>
  <c r="U211" i="12"/>
  <c r="R135" i="17"/>
  <c r="X131"/>
  <c r="N150"/>
  <c r="S208" i="12"/>
  <c r="T188"/>
  <c r="AA21" i="17"/>
  <c r="X149"/>
  <c r="L188" i="12"/>
  <c r="T150" i="17"/>
  <c r="L148"/>
  <c r="L212" i="12"/>
  <c r="W140" i="17"/>
  <c r="AD141"/>
  <c r="K204" i="12"/>
  <c r="T234" i="17"/>
  <c r="F246"/>
  <c r="AL247"/>
  <c r="AK175"/>
  <c r="M198"/>
  <c r="M219"/>
  <c r="M211" s="1"/>
  <c r="AC39"/>
  <c r="AC121" s="1"/>
  <c r="AC162"/>
  <c r="X202" i="12"/>
  <c r="X204"/>
  <c r="X205"/>
  <c r="X201"/>
  <c r="K242" i="17"/>
  <c r="K140"/>
  <c r="AA248"/>
  <c r="Z142"/>
  <c r="Z141"/>
  <c r="S155"/>
  <c r="S157"/>
  <c r="M236"/>
  <c r="L131"/>
  <c r="Y237"/>
  <c r="X224"/>
  <c r="L252"/>
  <c r="K252"/>
  <c r="AD247"/>
  <c r="AC175"/>
  <c r="AA236"/>
  <c r="Z131"/>
  <c r="X51"/>
  <c r="Y240"/>
  <c r="AC210" i="12"/>
  <c r="AC209"/>
  <c r="AC207"/>
  <c r="AC211"/>
  <c r="AC212"/>
  <c r="AC208"/>
  <c r="W222" i="17"/>
  <c r="W137"/>
  <c r="X238"/>
  <c r="J248"/>
  <c r="J157"/>
  <c r="L21"/>
  <c r="L225" s="1"/>
  <c r="L216" s="1"/>
  <c r="M240"/>
  <c r="L149"/>
  <c r="L151"/>
  <c r="L150"/>
  <c r="AG137"/>
  <c r="AH238"/>
  <c r="Y245"/>
  <c r="X171"/>
  <c r="AA133"/>
  <c r="AB238"/>
  <c r="Y243"/>
  <c r="X146"/>
  <c r="X147"/>
  <c r="L136"/>
  <c r="L135"/>
  <c r="N148"/>
  <c r="N171"/>
  <c r="AD152"/>
  <c r="AD228"/>
  <c r="K250"/>
  <c r="J229"/>
  <c r="M209" i="12"/>
  <c r="N207"/>
  <c r="F191"/>
  <c r="I190"/>
  <c r="J211"/>
  <c r="AK143" i="17"/>
  <c r="K152"/>
  <c r="N233"/>
  <c r="M29"/>
  <c r="M125" s="1"/>
  <c r="N151"/>
  <c r="U190" i="12"/>
  <c r="AB157" i="17"/>
  <c r="X230"/>
  <c r="N138"/>
  <c r="Y236"/>
  <c r="AB247"/>
  <c r="M56"/>
  <c r="N153"/>
  <c r="K139"/>
  <c r="AJ30"/>
  <c r="F199" i="12"/>
  <c r="H245" i="17"/>
  <c r="G194" i="12"/>
  <c r="G221" i="17"/>
  <c r="H205" i="12"/>
  <c r="I146" i="17"/>
  <c r="J246"/>
  <c r="J235"/>
  <c r="AK170"/>
  <c r="K246"/>
  <c r="M57"/>
  <c r="M60"/>
  <c r="N135"/>
  <c r="Q208" i="12"/>
  <c r="R210"/>
  <c r="S247" i="17"/>
  <c r="T202" i="12"/>
  <c r="U210"/>
  <c r="W223" i="17"/>
  <c r="X133"/>
  <c r="Z223"/>
  <c r="Z150"/>
  <c r="AB70"/>
  <c r="AC248"/>
  <c r="AC70"/>
  <c r="AE220"/>
  <c r="AE222"/>
  <c r="AK154"/>
  <c r="S197"/>
  <c r="X150"/>
  <c r="AK156"/>
  <c r="L230"/>
  <c r="AA175"/>
  <c r="X10"/>
  <c r="X220" s="1"/>
  <c r="T141"/>
  <c r="N146"/>
  <c r="L130"/>
  <c r="AG140"/>
  <c r="AC211"/>
  <c r="J141"/>
  <c r="R158"/>
  <c r="M146"/>
  <c r="AK21"/>
  <c r="AC156"/>
  <c r="S250"/>
  <c r="N241"/>
  <c r="J148"/>
  <c r="K137"/>
  <c r="J135"/>
  <c r="AA208" i="12"/>
  <c r="S206"/>
  <c r="T142" i="17"/>
  <c r="M188" i="12"/>
  <c r="K70" i="17"/>
  <c r="AC164"/>
  <c r="L171"/>
  <c r="L217"/>
  <c r="S205" i="12"/>
  <c r="T192"/>
  <c r="J225" i="17"/>
  <c r="J226"/>
  <c r="K200" s="1"/>
  <c r="L190" i="12"/>
  <c r="L203"/>
  <c r="T205"/>
  <c r="U192"/>
  <c r="J194"/>
  <c r="M204"/>
  <c r="O202"/>
  <c r="R190"/>
  <c r="G189"/>
  <c r="G196"/>
  <c r="P203"/>
  <c r="L214" i="17"/>
  <c r="J207" i="12"/>
  <c r="J209"/>
  <c r="F193" i="17"/>
  <c r="F204"/>
  <c r="G191" i="12"/>
  <c r="H196"/>
  <c r="H191"/>
  <c r="H212"/>
  <c r="I189"/>
  <c r="I198"/>
  <c r="J214" i="17"/>
  <c r="J215"/>
  <c r="J193" i="12"/>
  <c r="K189"/>
  <c r="N199"/>
  <c r="O195"/>
  <c r="P247" i="17"/>
  <c r="P190" i="12"/>
  <c r="P197"/>
  <c r="P152" i="17"/>
  <c r="Q191" i="12"/>
  <c r="Q211"/>
  <c r="Q212"/>
  <c r="Q197"/>
  <c r="R197"/>
  <c r="R191"/>
  <c r="U199"/>
  <c r="U208"/>
  <c r="V203" i="17"/>
  <c r="V55"/>
  <c r="V56"/>
  <c r="Y174"/>
  <c r="J196" i="12"/>
  <c r="K201"/>
  <c r="J212"/>
  <c r="K206"/>
  <c r="L193"/>
  <c r="I197"/>
  <c r="J210"/>
  <c r="L205"/>
  <c r="M192"/>
  <c r="I94" i="8"/>
  <c r="I18"/>
  <c r="I57"/>
  <c r="I42"/>
  <c r="I41"/>
  <c r="I93"/>
  <c r="I25"/>
  <c r="I46"/>
  <c r="I34"/>
  <c r="I99"/>
  <c r="I71"/>
  <c r="I21"/>
  <c r="I62"/>
  <c r="I58"/>
  <c r="I28"/>
  <c r="I76"/>
  <c r="I26"/>
  <c r="I22"/>
  <c r="I73"/>
  <c r="I38"/>
  <c r="I33"/>
  <c r="I97"/>
  <c r="I61"/>
  <c r="I14"/>
  <c r="M9" i="17"/>
  <c r="J9" i="8"/>
  <c r="I75"/>
  <c r="I65"/>
  <c r="I89"/>
  <c r="I29"/>
  <c r="I64"/>
  <c r="I79"/>
  <c r="I35"/>
  <c r="I45"/>
  <c r="I12"/>
  <c r="I54"/>
  <c r="I66"/>
  <c r="I88"/>
  <c r="I43"/>
  <c r="I80"/>
  <c r="I40"/>
  <c r="I84"/>
  <c r="I39"/>
  <c r="I30"/>
  <c r="I70"/>
  <c r="I32"/>
  <c r="I91"/>
  <c r="I87"/>
  <c r="I23"/>
  <c r="I98"/>
  <c r="I10"/>
  <c r="I102"/>
  <c r="I100"/>
  <c r="I52"/>
  <c r="I77"/>
  <c r="I96"/>
  <c r="I19"/>
  <c r="I103"/>
  <c r="I36"/>
  <c r="I55"/>
  <c r="I85"/>
  <c r="I101"/>
  <c r="I74"/>
  <c r="I82"/>
  <c r="I92"/>
  <c r="I81"/>
  <c r="I44"/>
  <c r="I15"/>
  <c r="I24"/>
  <c r="I59"/>
  <c r="I56"/>
  <c r="I53"/>
  <c r="I67"/>
  <c r="I37"/>
  <c r="I48"/>
  <c r="M4" i="12"/>
  <c r="H8" i="19" s="1"/>
  <c r="I69" i="8"/>
  <c r="I50"/>
  <c r="I63"/>
  <c r="I51"/>
  <c r="I11"/>
  <c r="I47"/>
  <c r="I17"/>
  <c r="I83"/>
  <c r="I72"/>
  <c r="I49"/>
  <c r="I90"/>
  <c r="I104"/>
  <c r="I13"/>
  <c r="I16"/>
  <c r="I95"/>
  <c r="I60"/>
  <c r="I68"/>
  <c r="I78"/>
  <c r="I20"/>
  <c r="I86"/>
  <c r="I27"/>
  <c r="I31"/>
  <c r="S54" i="17"/>
  <c r="S55"/>
  <c r="S219"/>
  <c r="S211" s="1"/>
  <c r="S56"/>
  <c r="F196"/>
  <c r="H208" i="12"/>
  <c r="K192"/>
  <c r="K202"/>
  <c r="O197"/>
  <c r="P189"/>
  <c r="R208"/>
  <c r="H189"/>
  <c r="H209"/>
  <c r="I195"/>
  <c r="J199"/>
  <c r="J198"/>
  <c r="P205"/>
  <c r="Q196"/>
  <c r="Q194"/>
  <c r="U195"/>
  <c r="V44" i="17"/>
  <c r="W177" s="1"/>
  <c r="V185"/>
  <c r="G188" i="12"/>
  <c r="G210"/>
  <c r="H201"/>
  <c r="H197"/>
  <c r="I192"/>
  <c r="J190"/>
  <c r="M205"/>
  <c r="O191"/>
  <c r="P192"/>
  <c r="P202"/>
  <c r="P191"/>
  <c r="Q209"/>
  <c r="V201" i="17"/>
  <c r="R195" i="12"/>
  <c r="Q193"/>
  <c r="S188"/>
  <c r="L203" i="17"/>
  <c r="L29"/>
  <c r="L54"/>
  <c r="L55"/>
  <c r="L57"/>
  <c r="L56"/>
  <c r="L219"/>
  <c r="L201"/>
  <c r="L204"/>
  <c r="L59"/>
  <c r="L60"/>
  <c r="L121"/>
  <c r="AA61"/>
  <c r="AA220"/>
  <c r="AA193"/>
  <c r="AA200"/>
  <c r="AA187"/>
  <c r="AA57"/>
  <c r="AA56"/>
  <c r="AA198"/>
  <c r="AA199"/>
  <c r="AA188"/>
  <c r="AA196"/>
  <c r="AA219"/>
  <c r="AA185"/>
  <c r="AA63"/>
  <c r="AA62"/>
  <c r="AA64"/>
  <c r="AA201"/>
  <c r="AA48"/>
  <c r="AA59"/>
  <c r="AA47"/>
  <c r="AB233"/>
  <c r="AA186"/>
  <c r="AA195"/>
  <c r="AA55"/>
  <c r="AA204"/>
  <c r="AA176"/>
  <c r="AA54"/>
  <c r="AA202"/>
  <c r="AA60"/>
  <c r="AA90"/>
  <c r="AA194"/>
  <c r="AA44"/>
  <c r="AA197"/>
  <c r="AA203"/>
  <c r="X48"/>
  <c r="X185"/>
  <c r="X63"/>
  <c r="X56"/>
  <c r="X193"/>
  <c r="X59"/>
  <c r="X188"/>
  <c r="X187"/>
  <c r="X55"/>
  <c r="X198"/>
  <c r="X194"/>
  <c r="X60"/>
  <c r="X47"/>
  <c r="X44"/>
  <c r="X204"/>
  <c r="X196"/>
  <c r="F237"/>
  <c r="I178"/>
  <c r="Q230"/>
  <c r="V198"/>
  <c r="V204"/>
  <c r="W241"/>
  <c r="G194"/>
  <c r="K175"/>
  <c r="M121"/>
  <c r="M226"/>
  <c r="N220"/>
  <c r="N194" s="1"/>
  <c r="V90"/>
  <c r="V54"/>
  <c r="V199"/>
  <c r="V194"/>
  <c r="V60"/>
  <c r="V197"/>
  <c r="V29"/>
  <c r="V125" s="1"/>
  <c r="V222"/>
  <c r="V230"/>
  <c r="Z130"/>
  <c r="AA29"/>
  <c r="N121"/>
  <c r="N198"/>
  <c r="N60"/>
  <c r="N201"/>
  <c r="N59"/>
  <c r="N29"/>
  <c r="N56"/>
  <c r="N55"/>
  <c r="N57"/>
  <c r="N176"/>
  <c r="N219"/>
  <c r="N210" s="1"/>
  <c r="N54"/>
  <c r="N197"/>
  <c r="AE54"/>
  <c r="AE201"/>
  <c r="AE194"/>
  <c r="AE55"/>
  <c r="AE90"/>
  <c r="AE143" s="1"/>
  <c r="AE56"/>
  <c r="AE202"/>
  <c r="AE196"/>
  <c r="AE61"/>
  <c r="AE219"/>
  <c r="AE187"/>
  <c r="AF233"/>
  <c r="AE60"/>
  <c r="AE64"/>
  <c r="AE197"/>
  <c r="AE198"/>
  <c r="AE186"/>
  <c r="AE63"/>
  <c r="AE44"/>
  <c r="AE204"/>
  <c r="AE195"/>
  <c r="AE57"/>
  <c r="AE199"/>
  <c r="AE59"/>
  <c r="AE62"/>
  <c r="AE188"/>
  <c r="AE203"/>
  <c r="AE200"/>
  <c r="AE185"/>
  <c r="AE193"/>
  <c r="AE48"/>
  <c r="AE47"/>
  <c r="AC225"/>
  <c r="AD239"/>
  <c r="F215"/>
  <c r="M201"/>
  <c r="V63"/>
  <c r="V219"/>
  <c r="V211" s="1"/>
  <c r="V188"/>
  <c r="V186"/>
  <c r="AK121"/>
  <c r="AL177"/>
  <c r="I152"/>
  <c r="N239"/>
  <c r="R245"/>
  <c r="V59"/>
  <c r="V200"/>
  <c r="V193"/>
  <c r="V196"/>
  <c r="V176"/>
  <c r="V47"/>
  <c r="AC29"/>
  <c r="AL140"/>
  <c r="AL152"/>
  <c r="AL139"/>
  <c r="AL148"/>
  <c r="AL171"/>
  <c r="AL146"/>
  <c r="AL149"/>
  <c r="AL147"/>
  <c r="AL225"/>
  <c r="AL226"/>
  <c r="AL222"/>
  <c r="AL223"/>
  <c r="AL132"/>
  <c r="AL133"/>
  <c r="AL131"/>
  <c r="AL174"/>
  <c r="AL10"/>
  <c r="AL51"/>
  <c r="AL130"/>
  <c r="AL129"/>
  <c r="AL221"/>
  <c r="AL52"/>
  <c r="AL115"/>
  <c r="AL203" i="12"/>
  <c r="AL201"/>
  <c r="AL202"/>
  <c r="AL206"/>
  <c r="AL205"/>
  <c r="AL204"/>
  <c r="AK133" i="17"/>
  <c r="AL238"/>
  <c r="AK222"/>
  <c r="AK137"/>
  <c r="AK223"/>
  <c r="AK151"/>
  <c r="AL252"/>
  <c r="AK70"/>
  <c r="AK253"/>
  <c r="AJ154"/>
  <c r="AJ70"/>
  <c r="AJ171"/>
  <c r="AK245"/>
  <c r="AJ148"/>
  <c r="AJ146"/>
  <c r="AJ147"/>
  <c r="AK243"/>
  <c r="AJ175"/>
  <c r="AJ21"/>
  <c r="AK241"/>
  <c r="AJ149"/>
  <c r="AJ153"/>
  <c r="AJ151"/>
  <c r="AJ227"/>
  <c r="AJ228"/>
  <c r="AJ152"/>
  <c r="AJ150"/>
  <c r="AJ230"/>
  <c r="AK240"/>
  <c r="AJ223"/>
  <c r="AJ222"/>
  <c r="AK236"/>
  <c r="AJ132"/>
  <c r="AJ131"/>
  <c r="AJ133"/>
  <c r="AJ221"/>
  <c r="AJ129"/>
  <c r="AJ52"/>
  <c r="AJ115"/>
  <c r="AJ174"/>
  <c r="AJ10"/>
  <c r="AJ51"/>
  <c r="AK234"/>
  <c r="AJ130"/>
  <c r="AJ206" i="12"/>
  <c r="AJ201"/>
  <c r="AJ205"/>
  <c r="AJ203"/>
  <c r="AJ204"/>
  <c r="AJ202"/>
  <c r="AJ238" i="17"/>
  <c r="AI137"/>
  <c r="AI30"/>
  <c r="AI148"/>
  <c r="AJ243"/>
  <c r="AI146"/>
  <c r="AI147"/>
  <c r="AI149"/>
  <c r="AI230"/>
  <c r="AI225"/>
  <c r="AI226"/>
  <c r="AJ239"/>
  <c r="AI211" i="12"/>
  <c r="AI208"/>
  <c r="AI212"/>
  <c r="AI210"/>
  <c r="AI207"/>
  <c r="AI209"/>
  <c r="AI222" i="17"/>
  <c r="AI131"/>
  <c r="AI133"/>
  <c r="AI132"/>
  <c r="AJ236"/>
  <c r="AI223"/>
  <c r="AI52"/>
  <c r="AI10"/>
  <c r="AI174"/>
  <c r="AI129"/>
  <c r="AI130"/>
  <c r="AI51"/>
  <c r="AI221"/>
  <c r="AJ234"/>
  <c r="AI115"/>
  <c r="AI206" i="12"/>
  <c r="AI204"/>
  <c r="AI205"/>
  <c r="AI203"/>
  <c r="AI202"/>
  <c r="AI201"/>
  <c r="AH139" i="17"/>
  <c r="AI242"/>
  <c r="AH140"/>
  <c r="AH30"/>
  <c r="AH115"/>
  <c r="AH146"/>
  <c r="AH153"/>
  <c r="AH150"/>
  <c r="AH149"/>
  <c r="AH230"/>
  <c r="AI241"/>
  <c r="AH227"/>
  <c r="AI240"/>
  <c r="AH152"/>
  <c r="AH151"/>
  <c r="AH175"/>
  <c r="AH228"/>
  <c r="AH21"/>
  <c r="AH52"/>
  <c r="AH207" i="12"/>
  <c r="AH212"/>
  <c r="AH211"/>
  <c r="AH208"/>
  <c r="AH209"/>
  <c r="AH210"/>
  <c r="AH133" i="17"/>
  <c r="AH222"/>
  <c r="AH132"/>
  <c r="AI236"/>
  <c r="AH131"/>
  <c r="AH223"/>
  <c r="AH62"/>
  <c r="AH61"/>
  <c r="AH56"/>
  <c r="AH198"/>
  <c r="AH197"/>
  <c r="AH200"/>
  <c r="AH188"/>
  <c r="AH59"/>
  <c r="AH186"/>
  <c r="AH193"/>
  <c r="AH29"/>
  <c r="AH199"/>
  <c r="AH201"/>
  <c r="AH47"/>
  <c r="AH203"/>
  <c r="AH194"/>
  <c r="AH202"/>
  <c r="AH60"/>
  <c r="AH176"/>
  <c r="AH187"/>
  <c r="AH48"/>
  <c r="AH55"/>
  <c r="AH204"/>
  <c r="AH195"/>
  <c r="AH63"/>
  <c r="AH196"/>
  <c r="AH219"/>
  <c r="AH64"/>
  <c r="AH220"/>
  <c r="AH90"/>
  <c r="AH44"/>
  <c r="AI233"/>
  <c r="AH54"/>
  <c r="AH185"/>
  <c r="AH57"/>
  <c r="AH202" i="12"/>
  <c r="AH205"/>
  <c r="AH201"/>
  <c r="AH206"/>
  <c r="AH203"/>
  <c r="AH204"/>
  <c r="AG115" i="17"/>
  <c r="AG30"/>
  <c r="AG52"/>
  <c r="AG157"/>
  <c r="AG154"/>
  <c r="AG155"/>
  <c r="AH247"/>
  <c r="AG156"/>
  <c r="AG148"/>
  <c r="AG171"/>
  <c r="AH245"/>
  <c r="AH241"/>
  <c r="AG151"/>
  <c r="AG227"/>
  <c r="AG153"/>
  <c r="AG230"/>
  <c r="AG21"/>
  <c r="AG149"/>
  <c r="AG150"/>
  <c r="AG152"/>
  <c r="AG175"/>
  <c r="AH240"/>
  <c r="AG228"/>
  <c r="AG133"/>
  <c r="AG223"/>
  <c r="AG132"/>
  <c r="AG131"/>
  <c r="AH236"/>
  <c r="AG222"/>
  <c r="AG10"/>
  <c r="AG174"/>
  <c r="AG129"/>
  <c r="AF142"/>
  <c r="AG248"/>
  <c r="AF141"/>
  <c r="AF157"/>
  <c r="AF135"/>
  <c r="AF136"/>
  <c r="AF225"/>
  <c r="AF226"/>
  <c r="AG239"/>
  <c r="AF29"/>
  <c r="AF201"/>
  <c r="AF202"/>
  <c r="AF197"/>
  <c r="AF63"/>
  <c r="AF219"/>
  <c r="AF186"/>
  <c r="AF47"/>
  <c r="AF203"/>
  <c r="AF196"/>
  <c r="AF48"/>
  <c r="AF198"/>
  <c r="AF55"/>
  <c r="AF193"/>
  <c r="AF185"/>
  <c r="AG233"/>
  <c r="AF44"/>
  <c r="AF194"/>
  <c r="AF54"/>
  <c r="AF60"/>
  <c r="AF121"/>
  <c r="AF176"/>
  <c r="AF64"/>
  <c r="AF56"/>
  <c r="AF204"/>
  <c r="AF61"/>
  <c r="AF200"/>
  <c r="AF220"/>
  <c r="AF57"/>
  <c r="AF62"/>
  <c r="AF188"/>
  <c r="AF59"/>
  <c r="AF187"/>
  <c r="AF199"/>
  <c r="AF90"/>
  <c r="AF195"/>
  <c r="AF206" i="12"/>
  <c r="AF203"/>
  <c r="AF205"/>
  <c r="AF204"/>
  <c r="AF201"/>
  <c r="AF202"/>
  <c r="AF248" i="17"/>
  <c r="AE142"/>
  <c r="AE141"/>
  <c r="AE157"/>
  <c r="AE148"/>
  <c r="AE176"/>
  <c r="AE29"/>
  <c r="AE121"/>
  <c r="AF239"/>
  <c r="AE225"/>
  <c r="AE226"/>
  <c r="AD225"/>
  <c r="AD226"/>
  <c r="AE239"/>
  <c r="AE246"/>
  <c r="AD148"/>
  <c r="AE243"/>
  <c r="AD146"/>
  <c r="AD147"/>
  <c r="AD210" i="12"/>
  <c r="AD211"/>
  <c r="AD212"/>
  <c r="AD209"/>
  <c r="AD207"/>
  <c r="AD208"/>
  <c r="AD222" i="17"/>
  <c r="AE236"/>
  <c r="AD133"/>
  <c r="AD223"/>
  <c r="AD132"/>
  <c r="AD131"/>
  <c r="AD221"/>
  <c r="AD10"/>
  <c r="AD174"/>
  <c r="AD130"/>
  <c r="AD115"/>
  <c r="AD51"/>
  <c r="AE234"/>
  <c r="AD52"/>
  <c r="AD129"/>
  <c r="AD206" i="12"/>
  <c r="AD205"/>
  <c r="AD201"/>
  <c r="AD204"/>
  <c r="AD202"/>
  <c r="AD203"/>
  <c r="AD248" i="17"/>
  <c r="AC142"/>
  <c r="AC157"/>
  <c r="AC141"/>
  <c r="AC226"/>
  <c r="AC135"/>
  <c r="AD243"/>
  <c r="AC147"/>
  <c r="AC230"/>
  <c r="AC149"/>
  <c r="AC146"/>
  <c r="AC235"/>
  <c r="AB135"/>
  <c r="AB162"/>
  <c r="AB163"/>
  <c r="AB177"/>
  <c r="AB30"/>
  <c r="AC245"/>
  <c r="AB148"/>
  <c r="AB171"/>
  <c r="AB149"/>
  <c r="AC241"/>
  <c r="AB228"/>
  <c r="AB151"/>
  <c r="AB227"/>
  <c r="AB152"/>
  <c r="AB150"/>
  <c r="AB175"/>
  <c r="AB230"/>
  <c r="AB21"/>
  <c r="AB153"/>
  <c r="AC240"/>
  <c r="AB211" i="12"/>
  <c r="AB207"/>
  <c r="AB212"/>
  <c r="AB210"/>
  <c r="AB209"/>
  <c r="AB208"/>
  <c r="AB131" i="17"/>
  <c r="AB222"/>
  <c r="AB223"/>
  <c r="AB133"/>
  <c r="AB132"/>
  <c r="AC236"/>
  <c r="AB52"/>
  <c r="AB130"/>
  <c r="AB51"/>
  <c r="AC234"/>
  <c r="AB115"/>
  <c r="AB10"/>
  <c r="AB129"/>
  <c r="AB174"/>
  <c r="AB221"/>
  <c r="AB203" i="12"/>
  <c r="AB206"/>
  <c r="AB205"/>
  <c r="AB204"/>
  <c r="AB201"/>
  <c r="AB202"/>
  <c r="AB242" i="17"/>
  <c r="AA140"/>
  <c r="AA152"/>
  <c r="AA226"/>
  <c r="AA139"/>
  <c r="AA228"/>
  <c r="Z135"/>
  <c r="AA235"/>
  <c r="Z165"/>
  <c r="Z162"/>
  <c r="Z39"/>
  <c r="Z164"/>
  <c r="Z148"/>
  <c r="Z115"/>
  <c r="Z149"/>
  <c r="AA243"/>
  <c r="Z147"/>
  <c r="Z146"/>
  <c r="Z226"/>
  <c r="AA239"/>
  <c r="Z225"/>
  <c r="Z129"/>
  <c r="Z186"/>
  <c r="Z220"/>
  <c r="Z54"/>
  <c r="Z55"/>
  <c r="Z90"/>
  <c r="Z193"/>
  <c r="Z194"/>
  <c r="Z62"/>
  <c r="Z44"/>
  <c r="Z205" i="12"/>
  <c r="Z203"/>
  <c r="Z201"/>
  <c r="Z204"/>
  <c r="Z206"/>
  <c r="Z202"/>
  <c r="Z235" i="17"/>
  <c r="Y135"/>
  <c r="Z250"/>
  <c r="Y229"/>
  <c r="Y162"/>
  <c r="Y164"/>
  <c r="Y165"/>
  <c r="Y39"/>
  <c r="Y177"/>
  <c r="Y148"/>
  <c r="Z245"/>
  <c r="Y171"/>
  <c r="Y152"/>
  <c r="Z240"/>
  <c r="Y228"/>
  <c r="Y230"/>
  <c r="Y151"/>
  <c r="Z241"/>
  <c r="Y150"/>
  <c r="Y21"/>
  <c r="Y29" s="1"/>
  <c r="Y175"/>
  <c r="Y227"/>
  <c r="Y149"/>
  <c r="Y153"/>
  <c r="Y115"/>
  <c r="Y52"/>
  <c r="Y51"/>
  <c r="Y224"/>
  <c r="Z237"/>
  <c r="Y131"/>
  <c r="Z236"/>
  <c r="Y133"/>
  <c r="Y223"/>
  <c r="Y222"/>
  <c r="Y132"/>
  <c r="Y196"/>
  <c r="Y188"/>
  <c r="Y193"/>
  <c r="Y90"/>
  <c r="Y199"/>
  <c r="Z233"/>
  <c r="Y197"/>
  <c r="Y60"/>
  <c r="Y121"/>
  <c r="Y194"/>
  <c r="Y195"/>
  <c r="Y44"/>
  <c r="Y186"/>
  <c r="Y202"/>
  <c r="Y47"/>
  <c r="Y185"/>
  <c r="Y176"/>
  <c r="Y56"/>
  <c r="Y200"/>
  <c r="Y59"/>
  <c r="Y48"/>
  <c r="Y55"/>
  <c r="Y219"/>
  <c r="Y54"/>
  <c r="Y204"/>
  <c r="Y203"/>
  <c r="Y198"/>
  <c r="Y57"/>
  <c r="Y63"/>
  <c r="Y64"/>
  <c r="Y62"/>
  <c r="Y61"/>
  <c r="Y220"/>
  <c r="Y201"/>
  <c r="Y187"/>
  <c r="Y205" i="12"/>
  <c r="Y206"/>
  <c r="Y201"/>
  <c r="Y204"/>
  <c r="Y202"/>
  <c r="Y203"/>
  <c r="Y242" i="17"/>
  <c r="X228"/>
  <c r="X152"/>
  <c r="X139"/>
  <c r="X140"/>
  <c r="W163"/>
  <c r="W162"/>
  <c r="X246"/>
  <c r="W148"/>
  <c r="W153"/>
  <c r="W152"/>
  <c r="W228"/>
  <c r="W151"/>
  <c r="X241"/>
  <c r="W227"/>
  <c r="W149"/>
  <c r="W175"/>
  <c r="W230"/>
  <c r="W21"/>
  <c r="W150"/>
  <c r="X240"/>
  <c r="W51"/>
  <c r="W221"/>
  <c r="W115"/>
  <c r="W130"/>
  <c r="X234"/>
  <c r="W174"/>
  <c r="W129"/>
  <c r="W10"/>
  <c r="W52"/>
  <c r="W248"/>
  <c r="V142"/>
  <c r="V141"/>
  <c r="V157"/>
  <c r="W238"/>
  <c r="V137"/>
  <c r="V223"/>
  <c r="V250"/>
  <c r="W250"/>
  <c r="V150"/>
  <c r="V229"/>
  <c r="V164"/>
  <c r="V162"/>
  <c r="V165"/>
  <c r="V39"/>
  <c r="V121" s="1"/>
  <c r="V171"/>
  <c r="V148"/>
  <c r="W245"/>
  <c r="V226"/>
  <c r="W239"/>
  <c r="V225"/>
  <c r="V210" i="12"/>
  <c r="V209"/>
  <c r="V211"/>
  <c r="V208"/>
  <c r="V212"/>
  <c r="V207"/>
  <c r="V62" i="17"/>
  <c r="V61"/>
  <c r="V195"/>
  <c r="W233"/>
  <c r="V202"/>
  <c r="V57"/>
  <c r="V220"/>
  <c r="V187"/>
  <c r="V64"/>
  <c r="V126"/>
  <c r="V208"/>
  <c r="V206"/>
  <c r="V210"/>
  <c r="V206" i="12"/>
  <c r="V205"/>
  <c r="V202"/>
  <c r="V201"/>
  <c r="V204"/>
  <c r="V203"/>
  <c r="U140" i="17"/>
  <c r="U139"/>
  <c r="V242"/>
  <c r="U136"/>
  <c r="U135"/>
  <c r="U70"/>
  <c r="U251"/>
  <c r="U212" i="12"/>
  <c r="U134" i="17"/>
  <c r="U163"/>
  <c r="U162"/>
  <c r="U155"/>
  <c r="U156"/>
  <c r="V247"/>
  <c r="U157"/>
  <c r="U154"/>
  <c r="U171"/>
  <c r="U245"/>
  <c r="V245"/>
  <c r="U148"/>
  <c r="U150"/>
  <c r="U228"/>
  <c r="U21"/>
  <c r="V241"/>
  <c r="U240"/>
  <c r="U230"/>
  <c r="U152"/>
  <c r="U151"/>
  <c r="U149"/>
  <c r="U153"/>
  <c r="U241"/>
  <c r="V240"/>
  <c r="U175"/>
  <c r="U227"/>
  <c r="U197" i="12"/>
  <c r="U132" i="17"/>
  <c r="U223"/>
  <c r="U131"/>
  <c r="V236"/>
  <c r="U222"/>
  <c r="U133"/>
  <c r="U51"/>
  <c r="V234"/>
  <c r="U52"/>
  <c r="U130"/>
  <c r="U10"/>
  <c r="U234"/>
  <c r="U174"/>
  <c r="U221"/>
  <c r="U129"/>
  <c r="U115"/>
  <c r="U203" i="12"/>
  <c r="U206"/>
  <c r="U204"/>
  <c r="U202"/>
  <c r="U201"/>
  <c r="U205"/>
  <c r="U188"/>
  <c r="T203"/>
  <c r="T190"/>
  <c r="T226" i="17"/>
  <c r="T225"/>
  <c r="U239"/>
  <c r="T149"/>
  <c r="T230"/>
  <c r="U243"/>
  <c r="T146"/>
  <c r="T147"/>
  <c r="T211" i="12"/>
  <c r="T208"/>
  <c r="T209"/>
  <c r="T207"/>
  <c r="T212"/>
  <c r="T194"/>
  <c r="T210"/>
  <c r="T237" i="17"/>
  <c r="U237"/>
  <c r="T224"/>
  <c r="U236"/>
  <c r="T174"/>
  <c r="T222"/>
  <c r="T133"/>
  <c r="T223"/>
  <c r="T131"/>
  <c r="T132"/>
  <c r="T10"/>
  <c r="T236"/>
  <c r="S133"/>
  <c r="S222"/>
  <c r="T238"/>
  <c r="S220"/>
  <c r="S137"/>
  <c r="S223"/>
  <c r="S210" s="1"/>
  <c r="S202" i="12"/>
  <c r="S189"/>
  <c r="S151" i="17"/>
  <c r="S150"/>
  <c r="S175"/>
  <c r="S51"/>
  <c r="S227"/>
  <c r="S201" s="1"/>
  <c r="T240"/>
  <c r="S21"/>
  <c r="S239" s="1"/>
  <c r="S230"/>
  <c r="S115"/>
  <c r="S60"/>
  <c r="S153"/>
  <c r="S149"/>
  <c r="S152"/>
  <c r="T241"/>
  <c r="S228"/>
  <c r="S202" s="1"/>
  <c r="S52"/>
  <c r="S196" i="12"/>
  <c r="S209"/>
  <c r="S197"/>
  <c r="S210"/>
  <c r="S212"/>
  <c r="S199"/>
  <c r="S240" i="17"/>
  <c r="R239"/>
  <c r="R230"/>
  <c r="S241"/>
  <c r="R171"/>
  <c r="R148"/>
  <c r="S245"/>
  <c r="R146"/>
  <c r="S243"/>
  <c r="R147"/>
  <c r="R225"/>
  <c r="R226"/>
  <c r="R212" i="12"/>
  <c r="R52" i="17"/>
  <c r="R129"/>
  <c r="S234"/>
  <c r="R115"/>
  <c r="R10"/>
  <c r="R233" s="1"/>
  <c r="R221"/>
  <c r="R130"/>
  <c r="R174"/>
  <c r="R51"/>
  <c r="R202" i="12"/>
  <c r="R206"/>
  <c r="R205"/>
  <c r="R201"/>
  <c r="R204"/>
  <c r="R203"/>
  <c r="Q139" i="17"/>
  <c r="Q140"/>
  <c r="R242"/>
  <c r="Q228"/>
  <c r="Q152"/>
  <c r="R250"/>
  <c r="Q229"/>
  <c r="Q150"/>
  <c r="Q162"/>
  <c r="Q163"/>
  <c r="Q158"/>
  <c r="Q30"/>
  <c r="Q121" s="1"/>
  <c r="Q52"/>
  <c r="Q115"/>
  <c r="Q226"/>
  <c r="Q225"/>
  <c r="Q214" s="1"/>
  <c r="Q148"/>
  <c r="R246"/>
  <c r="Q171"/>
  <c r="Q246"/>
  <c r="Q147"/>
  <c r="R243"/>
  <c r="Q146"/>
  <c r="Q199" i="12"/>
  <c r="Q210"/>
  <c r="Q195"/>
  <c r="Q129" i="17"/>
  <c r="Q176"/>
  <c r="Q54"/>
  <c r="Q29"/>
  <c r="Q60"/>
  <c r="Q202"/>
  <c r="Q56"/>
  <c r="Q57"/>
  <c r="Q201"/>
  <c r="Q198"/>
  <c r="Q55"/>
  <c r="Q219"/>
  <c r="Q220"/>
  <c r="Q59"/>
  <c r="Q206" i="12"/>
  <c r="Q205"/>
  <c r="Q201"/>
  <c r="Q203"/>
  <c r="Q188"/>
  <c r="Q202"/>
  <c r="Q204"/>
  <c r="Q242" i="17"/>
  <c r="P139"/>
  <c r="P140"/>
  <c r="P151"/>
  <c r="Q252"/>
  <c r="P70"/>
  <c r="P229"/>
  <c r="Q203" s="1"/>
  <c r="Q250"/>
  <c r="P150"/>
  <c r="P165"/>
  <c r="P39"/>
  <c r="P164"/>
  <c r="P162"/>
  <c r="P30"/>
  <c r="P157"/>
  <c r="P154"/>
  <c r="P21"/>
  <c r="P239" s="1"/>
  <c r="P155"/>
  <c r="P156"/>
  <c r="Q247"/>
  <c r="Q245"/>
  <c r="P171"/>
  <c r="P148"/>
  <c r="P230"/>
  <c r="P149"/>
  <c r="P208" i="12"/>
  <c r="P207"/>
  <c r="P210"/>
  <c r="P209"/>
  <c r="P212"/>
  <c r="P211"/>
  <c r="P223" i="17"/>
  <c r="Q197" s="1"/>
  <c r="P133"/>
  <c r="P131"/>
  <c r="Q236"/>
  <c r="P222"/>
  <c r="Q196" s="1"/>
  <c r="P132"/>
  <c r="P204" i="12"/>
  <c r="P130" i="17"/>
  <c r="P115"/>
  <c r="P221"/>
  <c r="Q195" s="1"/>
  <c r="P129"/>
  <c r="P174"/>
  <c r="P10"/>
  <c r="P51"/>
  <c r="Q234"/>
  <c r="P52"/>
  <c r="O142"/>
  <c r="P248"/>
  <c r="O141"/>
  <c r="O140"/>
  <c r="P242"/>
  <c r="O139"/>
  <c r="O228"/>
  <c r="O135"/>
  <c r="P235"/>
  <c r="O134"/>
  <c r="O158"/>
  <c r="O30"/>
  <c r="O246"/>
  <c r="O241"/>
  <c r="O245"/>
  <c r="O148"/>
  <c r="O171"/>
  <c r="P245"/>
  <c r="O149"/>
  <c r="O199" i="12"/>
  <c r="O212"/>
  <c r="O225" i="17"/>
  <c r="O226"/>
  <c r="O129"/>
  <c r="O234"/>
  <c r="O174"/>
  <c r="O10"/>
  <c r="O130"/>
  <c r="P234"/>
  <c r="O221"/>
  <c r="O115"/>
  <c r="O52"/>
  <c r="O51"/>
  <c r="O189" i="12"/>
  <c r="N120" i="17"/>
  <c r="N197" i="12"/>
  <c r="N210"/>
  <c r="N202" i="17"/>
  <c r="N195" i="12"/>
  <c r="N208"/>
  <c r="N191"/>
  <c r="N204"/>
  <c r="N196" i="17"/>
  <c r="N195"/>
  <c r="N190" i="12"/>
  <c r="N203"/>
  <c r="N189"/>
  <c r="N202"/>
  <c r="M202"/>
  <c r="M151" i="17"/>
  <c r="N252"/>
  <c r="M70"/>
  <c r="M199" i="12"/>
  <c r="M212"/>
  <c r="M229" i="17"/>
  <c r="M150"/>
  <c r="N250"/>
  <c r="M230"/>
  <c r="M204" s="1"/>
  <c r="M250"/>
  <c r="M211" i="12"/>
  <c r="M198"/>
  <c r="M176" i="17"/>
  <c r="M225"/>
  <c r="M123"/>
  <c r="L142"/>
  <c r="L157"/>
  <c r="L141"/>
  <c r="M248"/>
  <c r="L197" i="12"/>
  <c r="L210"/>
  <c r="L228" i="17"/>
  <c r="M202" s="1"/>
  <c r="L140"/>
  <c r="L226"/>
  <c r="M213" s="1"/>
  <c r="L152"/>
  <c r="L139"/>
  <c r="M242"/>
  <c r="L191" i="12"/>
  <c r="L204"/>
  <c r="L189"/>
  <c r="L202"/>
  <c r="L223" i="17"/>
  <c r="L133"/>
  <c r="M238"/>
  <c r="L222"/>
  <c r="L137"/>
  <c r="L220"/>
  <c r="K162"/>
  <c r="K52"/>
  <c r="K115"/>
  <c r="K158"/>
  <c r="K30"/>
  <c r="K157"/>
  <c r="K156"/>
  <c r="K154"/>
  <c r="K247"/>
  <c r="K155"/>
  <c r="L247"/>
  <c r="K147"/>
  <c r="K146"/>
  <c r="L243"/>
  <c r="K149"/>
  <c r="K226"/>
  <c r="K239"/>
  <c r="K225"/>
  <c r="L212" s="1"/>
  <c r="K199" i="12"/>
  <c r="K197"/>
  <c r="K224" i="17"/>
  <c r="L198" s="1"/>
  <c r="L237"/>
  <c r="K223"/>
  <c r="L197" s="1"/>
  <c r="K131"/>
  <c r="L233"/>
  <c r="K220"/>
  <c r="K203"/>
  <c r="K204"/>
  <c r="K60"/>
  <c r="K201"/>
  <c r="K54"/>
  <c r="K202"/>
  <c r="K56"/>
  <c r="K219"/>
  <c r="K176"/>
  <c r="K55"/>
  <c r="K29"/>
  <c r="K196"/>
  <c r="K121"/>
  <c r="K59"/>
  <c r="K57"/>
  <c r="J223"/>
  <c r="K197" s="1"/>
  <c r="J131"/>
  <c r="J224"/>
  <c r="K237"/>
  <c r="J115"/>
  <c r="J174"/>
  <c r="J51"/>
  <c r="J129"/>
  <c r="J10"/>
  <c r="K234"/>
  <c r="J52"/>
  <c r="J221"/>
  <c r="K195" s="1"/>
  <c r="J130"/>
  <c r="J204" i="12"/>
  <c r="J205"/>
  <c r="J202"/>
  <c r="J203"/>
  <c r="J201"/>
  <c r="J206"/>
  <c r="I139" i="17"/>
  <c r="J242"/>
  <c r="I140"/>
  <c r="I137"/>
  <c r="J252"/>
  <c r="I70"/>
  <c r="I151"/>
  <c r="I251"/>
  <c r="I230"/>
  <c r="J217" s="1"/>
  <c r="J250"/>
  <c r="I229"/>
  <c r="J216" s="1"/>
  <c r="I162"/>
  <c r="I158"/>
  <c r="I30"/>
  <c r="J247"/>
  <c r="I156"/>
  <c r="I157"/>
  <c r="I154"/>
  <c r="I155"/>
  <c r="I21"/>
  <c r="I226" s="1"/>
  <c r="I175"/>
  <c r="I247"/>
  <c r="I148"/>
  <c r="I171"/>
  <c r="I211" i="12"/>
  <c r="I212"/>
  <c r="I207"/>
  <c r="I210"/>
  <c r="I208"/>
  <c r="I209"/>
  <c r="I222" i="17"/>
  <c r="I133"/>
  <c r="I131"/>
  <c r="I223"/>
  <c r="J236"/>
  <c r="I132"/>
  <c r="I221"/>
  <c r="I115"/>
  <c r="I129"/>
  <c r="I174"/>
  <c r="I10"/>
  <c r="I51"/>
  <c r="I130"/>
  <c r="I52"/>
  <c r="J234"/>
  <c r="I202" i="12"/>
  <c r="I203"/>
  <c r="I201"/>
  <c r="I204"/>
  <c r="I206"/>
  <c r="I205"/>
  <c r="H195"/>
  <c r="H253" i="17"/>
  <c r="H70"/>
  <c r="I252"/>
  <c r="I177"/>
  <c r="I246"/>
  <c r="H246"/>
  <c r="H199" i="12"/>
  <c r="H240" i="17"/>
  <c r="H175"/>
  <c r="H227"/>
  <c r="H21"/>
  <c r="H230"/>
  <c r="H228"/>
  <c r="I241"/>
  <c r="I240"/>
  <c r="H241"/>
  <c r="H223"/>
  <c r="I236"/>
  <c r="H222"/>
  <c r="H192" i="12"/>
  <c r="H190"/>
  <c r="H203"/>
  <c r="I234" i="17"/>
  <c r="H51"/>
  <c r="H174"/>
  <c r="H221"/>
  <c r="H52"/>
  <c r="H10"/>
  <c r="G250"/>
  <c r="G212" i="12"/>
  <c r="G175" i="17"/>
  <c r="G228"/>
  <c r="G202" s="1"/>
  <c r="G227"/>
  <c r="G201" s="1"/>
  <c r="G230"/>
  <c r="G204" s="1"/>
  <c r="G209" i="12"/>
  <c r="G197"/>
  <c r="G199" i="17"/>
  <c r="G216"/>
  <c r="G212"/>
  <c r="G208" i="12"/>
  <c r="G224" i="17"/>
  <c r="G223"/>
  <c r="G197" s="1"/>
  <c r="G60"/>
  <c r="G204" i="12"/>
  <c r="G202"/>
  <c r="G203"/>
  <c r="G201"/>
  <c r="G206"/>
  <c r="G205"/>
  <c r="G193" i="17"/>
  <c r="G209"/>
  <c r="G206"/>
  <c r="G207"/>
  <c r="H248"/>
  <c r="G248"/>
  <c r="F226"/>
  <c r="G235"/>
  <c r="H235"/>
  <c r="H252"/>
  <c r="G252"/>
  <c r="H244"/>
  <c r="G244"/>
  <c r="F217"/>
  <c r="F214"/>
  <c r="F208" i="12"/>
  <c r="F212"/>
  <c r="F211"/>
  <c r="F207"/>
  <c r="F209"/>
  <c r="F194"/>
  <c r="F210"/>
  <c r="F213" i="17"/>
  <c r="H237"/>
  <c r="G237"/>
  <c r="F224"/>
  <c r="F60"/>
  <c r="F210"/>
  <c r="F174"/>
  <c r="H234"/>
  <c r="F221"/>
  <c r="G208" s="1"/>
  <c r="G234"/>
  <c r="F201" i="12"/>
  <c r="F204"/>
  <c r="F206"/>
  <c r="F205"/>
  <c r="F203"/>
  <c r="F202"/>
  <c r="E220" i="17"/>
  <c r="F194" s="1"/>
  <c r="F235"/>
  <c r="E221"/>
  <c r="E229"/>
  <c r="F250"/>
  <c r="AK225" l="1"/>
  <c r="AL239"/>
  <c r="AK226"/>
  <c r="AK29"/>
  <c r="AK176"/>
  <c r="AA225"/>
  <c r="AB239"/>
  <c r="Z204"/>
  <c r="Z199"/>
  <c r="Z61"/>
  <c r="Z59"/>
  <c r="Z201"/>
  <c r="K198"/>
  <c r="M126"/>
  <c r="Z187"/>
  <c r="Z176"/>
  <c r="Z219"/>
  <c r="Z209" s="1"/>
  <c r="Z60"/>
  <c r="Z203"/>
  <c r="Z56"/>
  <c r="Z200"/>
  <c r="Z198"/>
  <c r="Z64"/>
  <c r="N213"/>
  <c r="X121"/>
  <c r="X90"/>
  <c r="X57"/>
  <c r="X61"/>
  <c r="X195"/>
  <c r="X186"/>
  <c r="X201"/>
  <c r="X202"/>
  <c r="X199"/>
  <c r="L176"/>
  <c r="L195"/>
  <c r="Y239"/>
  <c r="M239"/>
  <c r="N225"/>
  <c r="N226"/>
  <c r="M207"/>
  <c r="Z47"/>
  <c r="Z202"/>
  <c r="Z196"/>
  <c r="Z185"/>
  <c r="X29"/>
  <c r="X125" s="1"/>
  <c r="X176"/>
  <c r="M208"/>
  <c r="L239"/>
  <c r="O239"/>
  <c r="X226"/>
  <c r="Z197"/>
  <c r="Z29"/>
  <c r="Z125" s="1"/>
  <c r="Z57"/>
  <c r="Z121"/>
  <c r="Z195"/>
  <c r="Z48"/>
  <c r="Z188"/>
  <c r="Z63"/>
  <c r="AH121"/>
  <c r="Y233"/>
  <c r="X197"/>
  <c r="X200"/>
  <c r="X62"/>
  <c r="X219"/>
  <c r="X210" s="1"/>
  <c r="X203"/>
  <c r="X54"/>
  <c r="X64"/>
  <c r="AA121"/>
  <c r="J56" i="8"/>
  <c r="N4" i="12"/>
  <c r="I8" i="19" s="1"/>
  <c r="J86" i="8"/>
  <c r="J41"/>
  <c r="J11"/>
  <c r="J59"/>
  <c r="J45"/>
  <c r="J54"/>
  <c r="J42"/>
  <c r="J49"/>
  <c r="J10"/>
  <c r="J99"/>
  <c r="J25"/>
  <c r="J73"/>
  <c r="J70"/>
  <c r="J34"/>
  <c r="J93"/>
  <c r="J65"/>
  <c r="J61"/>
  <c r="J83"/>
  <c r="J55"/>
  <c r="J90"/>
  <c r="J22"/>
  <c r="J51"/>
  <c r="J88"/>
  <c r="J13"/>
  <c r="J32"/>
  <c r="J87"/>
  <c r="J39"/>
  <c r="J53"/>
  <c r="J64"/>
  <c r="J50"/>
  <c r="J20"/>
  <c r="J48"/>
  <c r="J98"/>
  <c r="J69"/>
  <c r="J43"/>
  <c r="J58"/>
  <c r="J81"/>
  <c r="J79"/>
  <c r="J72"/>
  <c r="J46"/>
  <c r="J33"/>
  <c r="J31"/>
  <c r="J62"/>
  <c r="J80"/>
  <c r="J14"/>
  <c r="J40"/>
  <c r="J17"/>
  <c r="J37"/>
  <c r="J89"/>
  <c r="J67"/>
  <c r="J21"/>
  <c r="J91"/>
  <c r="J100"/>
  <c r="J38"/>
  <c r="J103"/>
  <c r="J85"/>
  <c r="J96"/>
  <c r="J84"/>
  <c r="J47"/>
  <c r="J104"/>
  <c r="J92"/>
  <c r="J94"/>
  <c r="J76"/>
  <c r="J71"/>
  <c r="K9"/>
  <c r="J16"/>
  <c r="J52"/>
  <c r="J35"/>
  <c r="J36"/>
  <c r="J15"/>
  <c r="J97"/>
  <c r="J30"/>
  <c r="J44"/>
  <c r="J29"/>
  <c r="J27"/>
  <c r="J19"/>
  <c r="J95"/>
  <c r="N9" i="17"/>
  <c r="J78" i="8"/>
  <c r="J77"/>
  <c r="J18"/>
  <c r="J68"/>
  <c r="J26"/>
  <c r="J101"/>
  <c r="J82"/>
  <c r="J12"/>
  <c r="J63"/>
  <c r="J57"/>
  <c r="J75"/>
  <c r="J66"/>
  <c r="J60"/>
  <c r="J28"/>
  <c r="J74"/>
  <c r="J23"/>
  <c r="J24"/>
  <c r="J102"/>
  <c r="J213" i="17"/>
  <c r="M214"/>
  <c r="N200"/>
  <c r="J239"/>
  <c r="K199"/>
  <c r="V207"/>
  <c r="V167"/>
  <c r="M194"/>
  <c r="Q204"/>
  <c r="V168"/>
  <c r="N209"/>
  <c r="V209"/>
  <c r="V166"/>
  <c r="L210"/>
  <c r="M197"/>
  <c r="AC217"/>
  <c r="AC215"/>
  <c r="AC213"/>
  <c r="AC212"/>
  <c r="AC216"/>
  <c r="AC214"/>
  <c r="Y124"/>
  <c r="Y178"/>
  <c r="X170"/>
  <c r="X143"/>
  <c r="AC125"/>
  <c r="AC126"/>
  <c r="AE208"/>
  <c r="AE206"/>
  <c r="AE209"/>
  <c r="AE207"/>
  <c r="AE211"/>
  <c r="AE210"/>
  <c r="V170"/>
  <c r="W178"/>
  <c r="W124"/>
  <c r="V143"/>
  <c r="X208"/>
  <c r="X207"/>
  <c r="AB178"/>
  <c r="AA143"/>
  <c r="AA170"/>
  <c r="AB124"/>
  <c r="AF177"/>
  <c r="AE168"/>
  <c r="AE167"/>
  <c r="AE166"/>
  <c r="N126"/>
  <c r="N125"/>
  <c r="L206"/>
  <c r="L208"/>
  <c r="L211"/>
  <c r="M206"/>
  <c r="M193"/>
  <c r="G195"/>
  <c r="L193"/>
  <c r="M210"/>
  <c r="G210"/>
  <c r="G214"/>
  <c r="N204"/>
  <c r="S204"/>
  <c r="T217"/>
  <c r="L199"/>
  <c r="N61"/>
  <c r="N63" s="1"/>
  <c r="N62"/>
  <c r="M200"/>
  <c r="F200"/>
  <c r="G200"/>
  <c r="M203"/>
  <c r="N216"/>
  <c r="N203"/>
  <c r="S208"/>
  <c r="S195"/>
  <c r="AF124"/>
  <c r="AF178"/>
  <c r="AE170"/>
  <c r="N193"/>
  <c r="N211"/>
  <c r="N206"/>
  <c r="M199"/>
  <c r="N212"/>
  <c r="F216"/>
  <c r="F203"/>
  <c r="M196"/>
  <c r="M209"/>
  <c r="AA125"/>
  <c r="AA126"/>
  <c r="X167"/>
  <c r="X168"/>
  <c r="X166"/>
  <c r="AA167"/>
  <c r="AA166"/>
  <c r="AA168"/>
  <c r="AA210"/>
  <c r="AA207"/>
  <c r="AA206"/>
  <c r="AA211"/>
  <c r="AA208"/>
  <c r="AA209"/>
  <c r="L126"/>
  <c r="L125"/>
  <c r="X214"/>
  <c r="X213"/>
  <c r="X217"/>
  <c r="X216"/>
  <c r="X215"/>
  <c r="X212"/>
  <c r="G213"/>
  <c r="Q217"/>
  <c r="G198"/>
  <c r="M215"/>
  <c r="N217"/>
  <c r="N207"/>
  <c r="N208"/>
  <c r="Q215"/>
  <c r="F207"/>
  <c r="AL214"/>
  <c r="AL215"/>
  <c r="AL212"/>
  <c r="AL217"/>
  <c r="AL216"/>
  <c r="AL213"/>
  <c r="AL188"/>
  <c r="AL198"/>
  <c r="AL63"/>
  <c r="AL57"/>
  <c r="AL199"/>
  <c r="AL64"/>
  <c r="AL62"/>
  <c r="AL56"/>
  <c r="AL176"/>
  <c r="AL55"/>
  <c r="AL54"/>
  <c r="AL185"/>
  <c r="AL44"/>
  <c r="AL219"/>
  <c r="AL187"/>
  <c r="AL203"/>
  <c r="AL195"/>
  <c r="AL202"/>
  <c r="AL90"/>
  <c r="AL121"/>
  <c r="AL196"/>
  <c r="AL204"/>
  <c r="AL193"/>
  <c r="AL201"/>
  <c r="AL200"/>
  <c r="AL47"/>
  <c r="AL61"/>
  <c r="AL60"/>
  <c r="AL186"/>
  <c r="AL220"/>
  <c r="AL59"/>
  <c r="AL48"/>
  <c r="AL194"/>
  <c r="AL197"/>
  <c r="AL29"/>
  <c r="AJ225"/>
  <c r="AJ226"/>
  <c r="AK239"/>
  <c r="AJ204"/>
  <c r="AJ29"/>
  <c r="AJ219"/>
  <c r="AJ61"/>
  <c r="AJ194"/>
  <c r="AJ90"/>
  <c r="AJ54"/>
  <c r="AJ185"/>
  <c r="AJ198"/>
  <c r="AJ193"/>
  <c r="AJ60"/>
  <c r="AJ44"/>
  <c r="AJ59"/>
  <c r="AJ187"/>
  <c r="AJ197"/>
  <c r="AJ199"/>
  <c r="AJ55"/>
  <c r="AJ186"/>
  <c r="AJ176"/>
  <c r="AJ202"/>
  <c r="AJ56"/>
  <c r="AJ200"/>
  <c r="AJ64"/>
  <c r="AJ203"/>
  <c r="AJ63"/>
  <c r="AJ47"/>
  <c r="AJ48"/>
  <c r="AJ62"/>
  <c r="AJ188"/>
  <c r="AJ121"/>
  <c r="AJ196"/>
  <c r="AJ57"/>
  <c r="AJ201"/>
  <c r="AJ220"/>
  <c r="AK233"/>
  <c r="AJ195"/>
  <c r="AI217"/>
  <c r="AI216"/>
  <c r="AI213"/>
  <c r="AI214"/>
  <c r="AI212"/>
  <c r="AI215"/>
  <c r="AI56"/>
  <c r="AI48"/>
  <c r="AI202"/>
  <c r="AI199"/>
  <c r="AI55"/>
  <c r="AI201"/>
  <c r="AI59"/>
  <c r="AI220"/>
  <c r="AI196"/>
  <c r="AI61"/>
  <c r="AI204"/>
  <c r="AI29"/>
  <c r="AI90"/>
  <c r="AI188"/>
  <c r="AI64"/>
  <c r="AI57"/>
  <c r="AI62"/>
  <c r="AI60"/>
  <c r="AI195"/>
  <c r="AI194"/>
  <c r="AI186"/>
  <c r="AI47"/>
  <c r="AI176"/>
  <c r="AI185"/>
  <c r="AI198"/>
  <c r="AI193"/>
  <c r="AI203"/>
  <c r="AI200"/>
  <c r="AI54"/>
  <c r="AI121"/>
  <c r="AI219"/>
  <c r="AI187"/>
  <c r="AJ233"/>
  <c r="AI44"/>
  <c r="AI197"/>
  <c r="AI63"/>
  <c r="AH226"/>
  <c r="AH225"/>
  <c r="AI239"/>
  <c r="AI178"/>
  <c r="AH170"/>
  <c r="AH143"/>
  <c r="AI124"/>
  <c r="AH125"/>
  <c r="AH126"/>
  <c r="AH168"/>
  <c r="AH166"/>
  <c r="AH167"/>
  <c r="AI177"/>
  <c r="AH209"/>
  <c r="AH208"/>
  <c r="AH206"/>
  <c r="AH211"/>
  <c r="AH207"/>
  <c r="AH210"/>
  <c r="AG225"/>
  <c r="AH239"/>
  <c r="AG226"/>
  <c r="AG219"/>
  <c r="AG61"/>
  <c r="AG202"/>
  <c r="AG59"/>
  <c r="AG204"/>
  <c r="AG60"/>
  <c r="AG187"/>
  <c r="AG121"/>
  <c r="AG62"/>
  <c r="AG186"/>
  <c r="AG64"/>
  <c r="AG57"/>
  <c r="AH233"/>
  <c r="AG56"/>
  <c r="AG193"/>
  <c r="AG54"/>
  <c r="AG201"/>
  <c r="AG188"/>
  <c r="AG44"/>
  <c r="AG122" s="1"/>
  <c r="AG195"/>
  <c r="AG47"/>
  <c r="AG194"/>
  <c r="AG55"/>
  <c r="AG200"/>
  <c r="AG199"/>
  <c r="AG176"/>
  <c r="AG29"/>
  <c r="AG196"/>
  <c r="AG48"/>
  <c r="AG198"/>
  <c r="AG185"/>
  <c r="AG197"/>
  <c r="AG63"/>
  <c r="AG220"/>
  <c r="AG203"/>
  <c r="AG90"/>
  <c r="AF216"/>
  <c r="AF217"/>
  <c r="AF214"/>
  <c r="AF212"/>
  <c r="AF213"/>
  <c r="AF215"/>
  <c r="AF206"/>
  <c r="AF208"/>
  <c r="AF207"/>
  <c r="AF211"/>
  <c r="AF210"/>
  <c r="AF209"/>
  <c r="AG124"/>
  <c r="AF143"/>
  <c r="AF170"/>
  <c r="AG178"/>
  <c r="AG177"/>
  <c r="AF122"/>
  <c r="AF166"/>
  <c r="AF167"/>
  <c r="AF168"/>
  <c r="AF126"/>
  <c r="AF125"/>
  <c r="AE214"/>
  <c r="AE217"/>
  <c r="AE216"/>
  <c r="AE213"/>
  <c r="AE215"/>
  <c r="AE212"/>
  <c r="AE125"/>
  <c r="AE126"/>
  <c r="AD215"/>
  <c r="AD214"/>
  <c r="AD217"/>
  <c r="AD212"/>
  <c r="AD213"/>
  <c r="AD216"/>
  <c r="AD201"/>
  <c r="AD194"/>
  <c r="AD204"/>
  <c r="AD63"/>
  <c r="AD198"/>
  <c r="AD187"/>
  <c r="AD186"/>
  <c r="AD90"/>
  <c r="AD193"/>
  <c r="AD54"/>
  <c r="AD185"/>
  <c r="AD203"/>
  <c r="AD197"/>
  <c r="AD44"/>
  <c r="AD59"/>
  <c r="AD47"/>
  <c r="AD48"/>
  <c r="AD61"/>
  <c r="AD199"/>
  <c r="AD121"/>
  <c r="AE233"/>
  <c r="AD56"/>
  <c r="AD176"/>
  <c r="AD196"/>
  <c r="AD195"/>
  <c r="AD62"/>
  <c r="AD55"/>
  <c r="AD64"/>
  <c r="AD57"/>
  <c r="AD202"/>
  <c r="AD29"/>
  <c r="AD200"/>
  <c r="AD60"/>
  <c r="AD219"/>
  <c r="AD188"/>
  <c r="AD220"/>
  <c r="AB226"/>
  <c r="AB225"/>
  <c r="AC239"/>
  <c r="AB57"/>
  <c r="AB59"/>
  <c r="AB63"/>
  <c r="AB29"/>
  <c r="AB61"/>
  <c r="AB55"/>
  <c r="AB48"/>
  <c r="AB64"/>
  <c r="AB203"/>
  <c r="AB60"/>
  <c r="AB199"/>
  <c r="AB54"/>
  <c r="AB196"/>
  <c r="AB185"/>
  <c r="AB194"/>
  <c r="AB187"/>
  <c r="AB195"/>
  <c r="AB56"/>
  <c r="AB201"/>
  <c r="AB219"/>
  <c r="AB90"/>
  <c r="AB186"/>
  <c r="AB44"/>
  <c r="AB176"/>
  <c r="AB188"/>
  <c r="AB62"/>
  <c r="AB202"/>
  <c r="AB220"/>
  <c r="AB204"/>
  <c r="AB198"/>
  <c r="AC233"/>
  <c r="AB47"/>
  <c r="AB200"/>
  <c r="AB121"/>
  <c r="AB193"/>
  <c r="AB197"/>
  <c r="Z213"/>
  <c r="Z214"/>
  <c r="Z212"/>
  <c r="Z216"/>
  <c r="Z215"/>
  <c r="Z217"/>
  <c r="Z126"/>
  <c r="AA122"/>
  <c r="Z166"/>
  <c r="Z167"/>
  <c r="AA177"/>
  <c r="Z168"/>
  <c r="Z170"/>
  <c r="AA124"/>
  <c r="AA178"/>
  <c r="Z143"/>
  <c r="Z208"/>
  <c r="Z210"/>
  <c r="Z211"/>
  <c r="Y225"/>
  <c r="Y226"/>
  <c r="Z239"/>
  <c r="Y126"/>
  <c r="Y125"/>
  <c r="Z177"/>
  <c r="Y122"/>
  <c r="Y167"/>
  <c r="Y168"/>
  <c r="Y166"/>
  <c r="Z122"/>
  <c r="Y211"/>
  <c r="Y209"/>
  <c r="Y206"/>
  <c r="Y207"/>
  <c r="Y208"/>
  <c r="Y210"/>
  <c r="Z124"/>
  <c r="Y170"/>
  <c r="Y143"/>
  <c r="Z178"/>
  <c r="W225"/>
  <c r="X239"/>
  <c r="W226"/>
  <c r="W29"/>
  <c r="W44"/>
  <c r="W56"/>
  <c r="W201"/>
  <c r="W198"/>
  <c r="W204"/>
  <c r="W62"/>
  <c r="W61"/>
  <c r="W187"/>
  <c r="W196"/>
  <c r="W54"/>
  <c r="W185"/>
  <c r="W121"/>
  <c r="W220"/>
  <c r="W55"/>
  <c r="W57"/>
  <c r="W194"/>
  <c r="W90"/>
  <c r="W64"/>
  <c r="W48"/>
  <c r="W203"/>
  <c r="W176"/>
  <c r="W63"/>
  <c r="W188"/>
  <c r="X233"/>
  <c r="W195"/>
  <c r="W47"/>
  <c r="W200"/>
  <c r="W60"/>
  <c r="W199"/>
  <c r="W193"/>
  <c r="W219"/>
  <c r="W186"/>
  <c r="W202"/>
  <c r="W197"/>
  <c r="W59"/>
  <c r="V216"/>
  <c r="V212"/>
  <c r="V215"/>
  <c r="V217"/>
  <c r="V213"/>
  <c r="V214"/>
  <c r="V239"/>
  <c r="U225"/>
  <c r="U199" s="1"/>
  <c r="U226"/>
  <c r="U195"/>
  <c r="U200"/>
  <c r="U196"/>
  <c r="V233"/>
  <c r="U57"/>
  <c r="U121"/>
  <c r="U198"/>
  <c r="U56"/>
  <c r="U219"/>
  <c r="U202"/>
  <c r="U55"/>
  <c r="U220"/>
  <c r="U201"/>
  <c r="U203"/>
  <c r="U204"/>
  <c r="U60"/>
  <c r="U197"/>
  <c r="U59"/>
  <c r="U29"/>
  <c r="U176"/>
  <c r="U54"/>
  <c r="T214"/>
  <c r="T216"/>
  <c r="T215"/>
  <c r="U233"/>
  <c r="T220"/>
  <c r="T202"/>
  <c r="T198"/>
  <c r="T194"/>
  <c r="T54"/>
  <c r="T197"/>
  <c r="T201"/>
  <c r="T56"/>
  <c r="T60"/>
  <c r="T196"/>
  <c r="T233"/>
  <c r="T55"/>
  <c r="T219"/>
  <c r="T203"/>
  <c r="T176"/>
  <c r="T59"/>
  <c r="T121"/>
  <c r="T195"/>
  <c r="T204"/>
  <c r="T29"/>
  <c r="T57"/>
  <c r="S196"/>
  <c r="S209"/>
  <c r="T239"/>
  <c r="S176"/>
  <c r="S29"/>
  <c r="S121"/>
  <c r="S226"/>
  <c r="S200" s="1"/>
  <c r="S225"/>
  <c r="T199" s="1"/>
  <c r="R213"/>
  <c r="R216"/>
  <c r="R217"/>
  <c r="R212"/>
  <c r="R214"/>
  <c r="R215"/>
  <c r="R199"/>
  <c r="R219"/>
  <c r="R196"/>
  <c r="R202"/>
  <c r="R195"/>
  <c r="R121"/>
  <c r="R198"/>
  <c r="R29"/>
  <c r="R193"/>
  <c r="R57"/>
  <c r="R197"/>
  <c r="S233"/>
  <c r="R200"/>
  <c r="R201"/>
  <c r="R220"/>
  <c r="S207" s="1"/>
  <c r="R55"/>
  <c r="R56"/>
  <c r="R204"/>
  <c r="R54"/>
  <c r="R60"/>
  <c r="T61" s="1"/>
  <c r="R194"/>
  <c r="R203"/>
  <c r="R59"/>
  <c r="R176"/>
  <c r="Q216"/>
  <c r="Q126"/>
  <c r="Q125"/>
  <c r="Q211"/>
  <c r="Q207"/>
  <c r="Q210"/>
  <c r="Q209"/>
  <c r="Q208"/>
  <c r="P226"/>
  <c r="P200" s="1"/>
  <c r="Q239"/>
  <c r="P225"/>
  <c r="Q199" s="1"/>
  <c r="P195"/>
  <c r="P121"/>
  <c r="P56"/>
  <c r="P220"/>
  <c r="Q194" s="1"/>
  <c r="Q233"/>
  <c r="P29"/>
  <c r="P60"/>
  <c r="P57"/>
  <c r="P55"/>
  <c r="P54"/>
  <c r="P202"/>
  <c r="P201"/>
  <c r="P219"/>
  <c r="P193" s="1"/>
  <c r="P176"/>
  <c r="P197"/>
  <c r="P199"/>
  <c r="P198"/>
  <c r="P196"/>
  <c r="P203"/>
  <c r="P204"/>
  <c r="P59"/>
  <c r="O215"/>
  <c r="O216"/>
  <c r="O213"/>
  <c r="O217"/>
  <c r="O212"/>
  <c r="O214"/>
  <c r="O196"/>
  <c r="O202"/>
  <c r="O200"/>
  <c r="O176"/>
  <c r="O121"/>
  <c r="O60"/>
  <c r="P61" s="1"/>
  <c r="O233"/>
  <c r="P233"/>
  <c r="O219"/>
  <c r="O193" s="1"/>
  <c r="O54"/>
  <c r="O199"/>
  <c r="O55"/>
  <c r="O62"/>
  <c r="O59"/>
  <c r="O64" s="1"/>
  <c r="O56"/>
  <c r="O198"/>
  <c r="O195"/>
  <c r="O203"/>
  <c r="O57"/>
  <c r="O220"/>
  <c r="O194" s="1"/>
  <c r="O201"/>
  <c r="O29"/>
  <c r="O197"/>
  <c r="O61"/>
  <c r="O204"/>
  <c r="M216"/>
  <c r="M212"/>
  <c r="M217"/>
  <c r="L200"/>
  <c r="L213"/>
  <c r="L202"/>
  <c r="L215"/>
  <c r="L194"/>
  <c r="L207"/>
  <c r="L196"/>
  <c r="L209"/>
  <c r="K217"/>
  <c r="K212"/>
  <c r="K213"/>
  <c r="K216"/>
  <c r="K214"/>
  <c r="K215"/>
  <c r="K208"/>
  <c r="K210"/>
  <c r="K209"/>
  <c r="K211"/>
  <c r="K126"/>
  <c r="K125"/>
  <c r="J29"/>
  <c r="K233"/>
  <c r="J198"/>
  <c r="J202"/>
  <c r="J197"/>
  <c r="J176"/>
  <c r="J56"/>
  <c r="J219"/>
  <c r="K206" s="1"/>
  <c r="J203"/>
  <c r="J204"/>
  <c r="J57"/>
  <c r="J59"/>
  <c r="J54"/>
  <c r="J201"/>
  <c r="J220"/>
  <c r="J200"/>
  <c r="J195"/>
  <c r="J121"/>
  <c r="J196"/>
  <c r="J55"/>
  <c r="J60"/>
  <c r="M61" s="1"/>
  <c r="I225"/>
  <c r="I121"/>
  <c r="I61"/>
  <c r="I54"/>
  <c r="I116" s="1"/>
  <c r="I55"/>
  <c r="I117" s="1"/>
  <c r="J233"/>
  <c r="I29"/>
  <c r="I198"/>
  <c r="I176"/>
  <c r="I60"/>
  <c r="J61" s="1"/>
  <c r="I56"/>
  <c r="I204"/>
  <c r="I220"/>
  <c r="I59"/>
  <c r="I197"/>
  <c r="I196"/>
  <c r="I195"/>
  <c r="I201"/>
  <c r="I90"/>
  <c r="J90" s="1"/>
  <c r="K90" s="1"/>
  <c r="I219"/>
  <c r="J193" s="1"/>
  <c r="I203"/>
  <c r="I202"/>
  <c r="I44"/>
  <c r="J44" s="1"/>
  <c r="I57"/>
  <c r="I186" s="1"/>
  <c r="H225"/>
  <c r="H199" s="1"/>
  <c r="H226"/>
  <c r="H200" s="1"/>
  <c r="I239"/>
  <c r="H239"/>
  <c r="H196"/>
  <c r="H198"/>
  <c r="H204"/>
  <c r="H48"/>
  <c r="H47"/>
  <c r="H60"/>
  <c r="I62" s="1"/>
  <c r="H176"/>
  <c r="H202"/>
  <c r="H197"/>
  <c r="H57"/>
  <c r="H195"/>
  <c r="H220"/>
  <c r="H194" s="1"/>
  <c r="I233"/>
  <c r="H54"/>
  <c r="H29"/>
  <c r="H56"/>
  <c r="H201"/>
  <c r="H55"/>
  <c r="H219"/>
  <c r="H203"/>
  <c r="H59"/>
  <c r="H233"/>
  <c r="G217"/>
  <c r="G215"/>
  <c r="G211"/>
  <c r="F198"/>
  <c r="F211"/>
  <c r="F195"/>
  <c r="F208"/>
  <c r="AA212" l="1"/>
  <c r="AA217"/>
  <c r="AA215"/>
  <c r="AA214"/>
  <c r="AA213"/>
  <c r="AA216"/>
  <c r="N214"/>
  <c r="N215"/>
  <c r="X206"/>
  <c r="X209"/>
  <c r="Z207"/>
  <c r="X126"/>
  <c r="X211"/>
  <c r="AK213"/>
  <c r="AK216"/>
  <c r="AK217"/>
  <c r="AK215"/>
  <c r="AK212"/>
  <c r="AK214"/>
  <c r="AK125"/>
  <c r="AK126"/>
  <c r="T62"/>
  <c r="T188" s="1"/>
  <c r="U61"/>
  <c r="Z206"/>
  <c r="N199"/>
  <c r="O9"/>
  <c r="O4" i="12"/>
  <c r="J8" i="19" s="1"/>
  <c r="K35" i="8"/>
  <c r="K55"/>
  <c r="K28"/>
  <c r="K58"/>
  <c r="K49"/>
  <c r="K29"/>
  <c r="K34"/>
  <c r="K48"/>
  <c r="K38"/>
  <c r="K39"/>
  <c r="K16"/>
  <c r="K32"/>
  <c r="K70"/>
  <c r="K50"/>
  <c r="K42"/>
  <c r="K98"/>
  <c r="K84"/>
  <c r="K82"/>
  <c r="K75"/>
  <c r="K85"/>
  <c r="K87"/>
  <c r="K81"/>
  <c r="K10"/>
  <c r="K22"/>
  <c r="K20"/>
  <c r="K25"/>
  <c r="K27"/>
  <c r="K77"/>
  <c r="K24"/>
  <c r="K53"/>
  <c r="K103"/>
  <c r="K79"/>
  <c r="K67"/>
  <c r="K94"/>
  <c r="K18"/>
  <c r="K62"/>
  <c r="K64"/>
  <c r="K17"/>
  <c r="K78"/>
  <c r="K99"/>
  <c r="K54"/>
  <c r="K101"/>
  <c r="K88"/>
  <c r="K93"/>
  <c r="K36"/>
  <c r="K80"/>
  <c r="K60"/>
  <c r="K19"/>
  <c r="K61"/>
  <c r="K102"/>
  <c r="K14"/>
  <c r="K46"/>
  <c r="K37"/>
  <c r="K72"/>
  <c r="K13"/>
  <c r="K100"/>
  <c r="K45"/>
  <c r="K68"/>
  <c r="K51"/>
  <c r="K56"/>
  <c r="K40"/>
  <c r="K86"/>
  <c r="K69"/>
  <c r="K96"/>
  <c r="K83"/>
  <c r="K76"/>
  <c r="K52"/>
  <c r="K66"/>
  <c r="K31"/>
  <c r="K43"/>
  <c r="K92"/>
  <c r="K23"/>
  <c r="K65"/>
  <c r="K33"/>
  <c r="K30"/>
  <c r="K90"/>
  <c r="K71"/>
  <c r="K12"/>
  <c r="K89"/>
  <c r="K95"/>
  <c r="K47"/>
  <c r="K44"/>
  <c r="K59"/>
  <c r="K91"/>
  <c r="K21"/>
  <c r="K26"/>
  <c r="K63"/>
  <c r="K57"/>
  <c r="K97"/>
  <c r="K74"/>
  <c r="K73"/>
  <c r="K11"/>
  <c r="K15"/>
  <c r="K41"/>
  <c r="L9"/>
  <c r="K104"/>
  <c r="Q206" i="17"/>
  <c r="U62"/>
  <c r="U187" s="1"/>
  <c r="U193"/>
  <c r="J194"/>
  <c r="O186"/>
  <c r="U63"/>
  <c r="U185"/>
  <c r="J47"/>
  <c r="K44"/>
  <c r="L90"/>
  <c r="K170"/>
  <c r="K143"/>
  <c r="L178"/>
  <c r="L124"/>
  <c r="I214"/>
  <c r="J212"/>
  <c r="J199"/>
  <c r="I199"/>
  <c r="Q213"/>
  <c r="T212"/>
  <c r="U194"/>
  <c r="L62"/>
  <c r="K193"/>
  <c r="L61"/>
  <c r="S206"/>
  <c r="S193"/>
  <c r="Q61"/>
  <c r="Q62"/>
  <c r="N185"/>
  <c r="N186"/>
  <c r="M185"/>
  <c r="M63"/>
  <c r="M186"/>
  <c r="K62"/>
  <c r="K61"/>
  <c r="S61"/>
  <c r="S62"/>
  <c r="N188"/>
  <c r="N187"/>
  <c r="N64"/>
  <c r="T200"/>
  <c r="T213"/>
  <c r="J62"/>
  <c r="J187" s="1"/>
  <c r="I200"/>
  <c r="K207"/>
  <c r="P62"/>
  <c r="P64" s="1"/>
  <c r="Q212"/>
  <c r="R61"/>
  <c r="S194"/>
  <c r="T186"/>
  <c r="T185"/>
  <c r="Q193"/>
  <c r="Q200"/>
  <c r="I194"/>
  <c r="P194"/>
  <c r="R62"/>
  <c r="R187" s="1"/>
  <c r="T63"/>
  <c r="M62"/>
  <c r="K194"/>
  <c r="AL168"/>
  <c r="AL167"/>
  <c r="AL122"/>
  <c r="AL166"/>
  <c r="AL210"/>
  <c r="AL208"/>
  <c r="AL211"/>
  <c r="AL209"/>
  <c r="AL207"/>
  <c r="AL206"/>
  <c r="AL125"/>
  <c r="AL126"/>
  <c r="AL143"/>
  <c r="AL170"/>
  <c r="AJ213"/>
  <c r="AJ212"/>
  <c r="AJ214"/>
  <c r="AJ216"/>
  <c r="AJ215"/>
  <c r="AJ217"/>
  <c r="AJ143"/>
  <c r="AK178"/>
  <c r="AJ170"/>
  <c r="AK124"/>
  <c r="AJ126"/>
  <c r="AJ125"/>
  <c r="AJ210"/>
  <c r="AJ211"/>
  <c r="AJ207"/>
  <c r="AJ206"/>
  <c r="AJ209"/>
  <c r="AJ208"/>
  <c r="AJ168"/>
  <c r="AJ166"/>
  <c r="AK122"/>
  <c r="AK177"/>
  <c r="AJ167"/>
  <c r="AJ124"/>
  <c r="AJ178"/>
  <c r="AI170"/>
  <c r="AI143"/>
  <c r="AI166"/>
  <c r="AI167"/>
  <c r="AI168"/>
  <c r="AJ177"/>
  <c r="AJ122"/>
  <c r="AI211"/>
  <c r="AI210"/>
  <c r="AI209"/>
  <c r="AI207"/>
  <c r="AI208"/>
  <c r="AI206"/>
  <c r="AI125"/>
  <c r="AI126"/>
  <c r="AI122"/>
  <c r="AH214"/>
  <c r="AH213"/>
  <c r="AH212"/>
  <c r="AH216"/>
  <c r="AH217"/>
  <c r="AH215"/>
  <c r="AG212"/>
  <c r="AG216"/>
  <c r="AG213"/>
  <c r="AG214"/>
  <c r="AG217"/>
  <c r="AG215"/>
  <c r="AG125"/>
  <c r="AG126"/>
  <c r="AG166"/>
  <c r="AH177"/>
  <c r="AH122"/>
  <c r="AG167"/>
  <c r="AG168"/>
  <c r="AG210"/>
  <c r="AG206"/>
  <c r="AG211"/>
  <c r="AG207"/>
  <c r="AG208"/>
  <c r="AG209"/>
  <c r="AG143"/>
  <c r="AG170"/>
  <c r="AH178"/>
  <c r="AH124"/>
  <c r="AD208"/>
  <c r="AD207"/>
  <c r="AD211"/>
  <c r="AD210"/>
  <c r="AD209"/>
  <c r="AD206"/>
  <c r="AD166"/>
  <c r="AD167"/>
  <c r="AE122"/>
  <c r="AD122"/>
  <c r="AD168"/>
  <c r="AE177"/>
  <c r="AD125"/>
  <c r="AD126"/>
  <c r="AD143"/>
  <c r="AD170"/>
  <c r="AE178"/>
  <c r="AE124"/>
  <c r="AB213"/>
  <c r="AB215"/>
  <c r="AB216"/>
  <c r="AB214"/>
  <c r="AB217"/>
  <c r="AB212"/>
  <c r="AC178"/>
  <c r="AB143"/>
  <c r="AC124"/>
  <c r="AB170"/>
  <c r="AB166"/>
  <c r="AB168"/>
  <c r="AC177"/>
  <c r="AB167"/>
  <c r="AC122"/>
  <c r="AB122"/>
  <c r="AB210"/>
  <c r="AB211"/>
  <c r="AB206"/>
  <c r="AB208"/>
  <c r="AB207"/>
  <c r="AB209"/>
  <c r="AB126"/>
  <c r="AB125"/>
  <c r="Y215"/>
  <c r="Y214"/>
  <c r="Y217"/>
  <c r="Y213"/>
  <c r="Y216"/>
  <c r="Y212"/>
  <c r="W213"/>
  <c r="W217"/>
  <c r="W212"/>
  <c r="W215"/>
  <c r="W216"/>
  <c r="W214"/>
  <c r="W126"/>
  <c r="W125"/>
  <c r="X124"/>
  <c r="X178"/>
  <c r="W170"/>
  <c r="W143"/>
  <c r="W166"/>
  <c r="X177"/>
  <c r="W168"/>
  <c r="W167"/>
  <c r="X122"/>
  <c r="W122"/>
  <c r="W208"/>
  <c r="W207"/>
  <c r="W206"/>
  <c r="W210"/>
  <c r="W209"/>
  <c r="W211"/>
  <c r="U217"/>
  <c r="U212"/>
  <c r="U214"/>
  <c r="U216"/>
  <c r="U215"/>
  <c r="U213"/>
  <c r="U125"/>
  <c r="U126"/>
  <c r="U186"/>
  <c r="U210"/>
  <c r="U209"/>
  <c r="U211"/>
  <c r="U206"/>
  <c r="U208"/>
  <c r="U207"/>
  <c r="U64"/>
  <c r="T187"/>
  <c r="T193"/>
  <c r="T211"/>
  <c r="T207"/>
  <c r="T206"/>
  <c r="T210"/>
  <c r="T209"/>
  <c r="T208"/>
  <c r="T125"/>
  <c r="T126"/>
  <c r="T64"/>
  <c r="S199"/>
  <c r="S213"/>
  <c r="S214"/>
  <c r="S215"/>
  <c r="S217"/>
  <c r="S216"/>
  <c r="S212"/>
  <c r="S126"/>
  <c r="S125"/>
  <c r="R63"/>
  <c r="R209"/>
  <c r="R206"/>
  <c r="R208"/>
  <c r="R207"/>
  <c r="R210"/>
  <c r="R211"/>
  <c r="R186"/>
  <c r="R125"/>
  <c r="R126"/>
  <c r="R185"/>
  <c r="P185"/>
  <c r="P212"/>
  <c r="P214"/>
  <c r="P217"/>
  <c r="P215"/>
  <c r="P216"/>
  <c r="P213"/>
  <c r="P188"/>
  <c r="P63"/>
  <c r="P186"/>
  <c r="P207"/>
  <c r="P206"/>
  <c r="P208"/>
  <c r="P211"/>
  <c r="P210"/>
  <c r="P209"/>
  <c r="P125"/>
  <c r="P126"/>
  <c r="O63"/>
  <c r="O185"/>
  <c r="O188"/>
  <c r="O206"/>
  <c r="O208"/>
  <c r="O207"/>
  <c r="O211"/>
  <c r="O210"/>
  <c r="O209"/>
  <c r="O187"/>
  <c r="O126"/>
  <c r="O125"/>
  <c r="J63"/>
  <c r="J126"/>
  <c r="J125"/>
  <c r="K178"/>
  <c r="K124"/>
  <c r="J143"/>
  <c r="J170"/>
  <c r="J208"/>
  <c r="J209"/>
  <c r="J207"/>
  <c r="J211"/>
  <c r="J206"/>
  <c r="J210"/>
  <c r="J48"/>
  <c r="J166"/>
  <c r="J168"/>
  <c r="K177"/>
  <c r="K122"/>
  <c r="J167"/>
  <c r="J186"/>
  <c r="J185"/>
  <c r="I217"/>
  <c r="I213"/>
  <c r="I212"/>
  <c r="I216"/>
  <c r="I215"/>
  <c r="I188"/>
  <c r="I187"/>
  <c r="I63"/>
  <c r="I143"/>
  <c r="J124"/>
  <c r="I170"/>
  <c r="J178"/>
  <c r="I125"/>
  <c r="I126"/>
  <c r="I185"/>
  <c r="I209"/>
  <c r="I207"/>
  <c r="I210"/>
  <c r="I206"/>
  <c r="I211"/>
  <c r="I208"/>
  <c r="I168"/>
  <c r="I166"/>
  <c r="J177"/>
  <c r="J122"/>
  <c r="I167"/>
  <c r="I122"/>
  <c r="I47"/>
  <c r="I118" s="1"/>
  <c r="I48"/>
  <c r="I119" s="1"/>
  <c r="I193"/>
  <c r="I64"/>
  <c r="H217"/>
  <c r="H212"/>
  <c r="H216"/>
  <c r="H214"/>
  <c r="H213"/>
  <c r="H215"/>
  <c r="H210"/>
  <c r="H206"/>
  <c r="H208"/>
  <c r="H211"/>
  <c r="H207"/>
  <c r="H209"/>
  <c r="H193"/>
  <c r="U188" l="1"/>
  <c r="P187"/>
  <c r="R188"/>
  <c r="P4" i="12"/>
  <c r="K8" i="19" s="1"/>
  <c r="L21" i="8"/>
  <c r="L87"/>
  <c r="L61"/>
  <c r="L51"/>
  <c r="L44"/>
  <c r="L22"/>
  <c r="L45"/>
  <c r="L30"/>
  <c r="L14"/>
  <c r="L15"/>
  <c r="L93"/>
  <c r="L78"/>
  <c r="L73"/>
  <c r="L47"/>
  <c r="L103"/>
  <c r="L23"/>
  <c r="L12"/>
  <c r="L85"/>
  <c r="L82"/>
  <c r="L50"/>
  <c r="L46"/>
  <c r="L55"/>
  <c r="L60"/>
  <c r="L56"/>
  <c r="L13"/>
  <c r="L18"/>
  <c r="L99"/>
  <c r="L38"/>
  <c r="L40"/>
  <c r="L74"/>
  <c r="L28"/>
  <c r="L66"/>
  <c r="L11"/>
  <c r="L79"/>
  <c r="L104"/>
  <c r="L70"/>
  <c r="L24"/>
  <c r="L27"/>
  <c r="L32"/>
  <c r="L64"/>
  <c r="L57"/>
  <c r="L90"/>
  <c r="L65"/>
  <c r="L67"/>
  <c r="L26"/>
  <c r="L98"/>
  <c r="L91"/>
  <c r="L20"/>
  <c r="L53"/>
  <c r="L39"/>
  <c r="L59"/>
  <c r="L10"/>
  <c r="L92"/>
  <c r="L84"/>
  <c r="L62"/>
  <c r="L41"/>
  <c r="L95"/>
  <c r="L75"/>
  <c r="M9"/>
  <c r="L96"/>
  <c r="L48"/>
  <c r="L86"/>
  <c r="L81"/>
  <c r="L77"/>
  <c r="L71"/>
  <c r="L31"/>
  <c r="L63"/>
  <c r="L72"/>
  <c r="L100"/>
  <c r="L102"/>
  <c r="L33"/>
  <c r="L25"/>
  <c r="L69"/>
  <c r="L52"/>
  <c r="L54"/>
  <c r="L42"/>
  <c r="L97"/>
  <c r="L49"/>
  <c r="L68"/>
  <c r="L58"/>
  <c r="L36"/>
  <c r="L94"/>
  <c r="P9" i="17"/>
  <c r="L35" i="8"/>
  <c r="L89"/>
  <c r="L101"/>
  <c r="L34"/>
  <c r="L37"/>
  <c r="L88"/>
  <c r="L29"/>
  <c r="L83"/>
  <c r="L16"/>
  <c r="L76"/>
  <c r="L17"/>
  <c r="L80"/>
  <c r="L19"/>
  <c r="L43"/>
  <c r="J188" i="17"/>
  <c r="K63"/>
  <c r="K186"/>
  <c r="K185"/>
  <c r="Q63"/>
  <c r="Q186"/>
  <c r="Q185"/>
  <c r="S185"/>
  <c r="S186"/>
  <c r="S63"/>
  <c r="Q64"/>
  <c r="Q188"/>
  <c r="Q187"/>
  <c r="L186"/>
  <c r="L185"/>
  <c r="L63"/>
  <c r="S188"/>
  <c r="S187"/>
  <c r="S64"/>
  <c r="K48"/>
  <c r="L44"/>
  <c r="L122" s="1"/>
  <c r="K47"/>
  <c r="K167"/>
  <c r="K166"/>
  <c r="K168"/>
  <c r="L177"/>
  <c r="M188"/>
  <c r="M64"/>
  <c r="M187"/>
  <c r="K64"/>
  <c r="K187"/>
  <c r="K188"/>
  <c r="L64"/>
  <c r="L187"/>
  <c r="L188"/>
  <c r="M90"/>
  <c r="L143"/>
  <c r="M178"/>
  <c r="L170"/>
  <c r="M124"/>
  <c r="J64"/>
  <c r="R64"/>
  <c r="Q4" i="12" l="1"/>
  <c r="H12" i="19" s="1"/>
  <c r="M38" i="8"/>
  <c r="M35"/>
  <c r="M27"/>
  <c r="M28"/>
  <c r="M15"/>
  <c r="M20"/>
  <c r="M17"/>
  <c r="M67"/>
  <c r="M72"/>
  <c r="M41"/>
  <c r="M26"/>
  <c r="M10"/>
  <c r="M40"/>
  <c r="M46"/>
  <c r="M86"/>
  <c r="M79"/>
  <c r="M23"/>
  <c r="M87"/>
  <c r="M91"/>
  <c r="M24"/>
  <c r="M80"/>
  <c r="M100"/>
  <c r="M66"/>
  <c r="Q9" i="17"/>
  <c r="M68" i="8"/>
  <c r="M94"/>
  <c r="M101"/>
  <c r="M85"/>
  <c r="M103"/>
  <c r="M48"/>
  <c r="M75"/>
  <c r="M11"/>
  <c r="M76"/>
  <c r="M58"/>
  <c r="M30"/>
  <c r="M61"/>
  <c r="M62"/>
  <c r="M51"/>
  <c r="M95"/>
  <c r="M54"/>
  <c r="M14"/>
  <c r="M65"/>
  <c r="M69"/>
  <c r="M55"/>
  <c r="M84"/>
  <c r="M96"/>
  <c r="M104"/>
  <c r="M102"/>
  <c r="N9"/>
  <c r="M64"/>
  <c r="M92"/>
  <c r="M53"/>
  <c r="M81"/>
  <c r="M36"/>
  <c r="M83"/>
  <c r="M57"/>
  <c r="M22"/>
  <c r="M19"/>
  <c r="M60"/>
  <c r="M73"/>
  <c r="M21"/>
  <c r="M52"/>
  <c r="M18"/>
  <c r="M71"/>
  <c r="M42"/>
  <c r="M44"/>
  <c r="M31"/>
  <c r="M16"/>
  <c r="M59"/>
  <c r="M33"/>
  <c r="M70"/>
  <c r="M29"/>
  <c r="M50"/>
  <c r="M39"/>
  <c r="M34"/>
  <c r="M47"/>
  <c r="M78"/>
  <c r="M45"/>
  <c r="M97"/>
  <c r="M89"/>
  <c r="M99"/>
  <c r="M49"/>
  <c r="M82"/>
  <c r="M56"/>
  <c r="M98"/>
  <c r="M25"/>
  <c r="M43"/>
  <c r="M88"/>
  <c r="M74"/>
  <c r="M12"/>
  <c r="M37"/>
  <c r="M32"/>
  <c r="M90"/>
  <c r="M77"/>
  <c r="M13"/>
  <c r="M93"/>
  <c r="M63"/>
  <c r="M170" i="17"/>
  <c r="N178"/>
  <c r="M143"/>
  <c r="N124"/>
  <c r="N90"/>
  <c r="M44"/>
  <c r="M122" s="1"/>
  <c r="L166"/>
  <c r="L167"/>
  <c r="L47"/>
  <c r="L48"/>
  <c r="L168"/>
  <c r="M177"/>
  <c r="N56" i="8" l="1"/>
  <c r="R4" i="12"/>
  <c r="I12" i="19" s="1"/>
  <c r="N94" i="8"/>
  <c r="N70"/>
  <c r="N69"/>
  <c r="N35"/>
  <c r="N40"/>
  <c r="N65"/>
  <c r="N18"/>
  <c r="O9"/>
  <c r="N34"/>
  <c r="N11"/>
  <c r="N39"/>
  <c r="N72"/>
  <c r="N62"/>
  <c r="N86"/>
  <c r="N97"/>
  <c r="N20"/>
  <c r="N32"/>
  <c r="N77"/>
  <c r="N102"/>
  <c r="N17"/>
  <c r="N103"/>
  <c r="N63"/>
  <c r="N53"/>
  <c r="N61"/>
  <c r="N57"/>
  <c r="N91"/>
  <c r="N22"/>
  <c r="N14"/>
  <c r="N58"/>
  <c r="N79"/>
  <c r="N49"/>
  <c r="N80"/>
  <c r="N16"/>
  <c r="N48"/>
  <c r="N54"/>
  <c r="N64"/>
  <c r="N88"/>
  <c r="N31"/>
  <c r="N36"/>
  <c r="N60"/>
  <c r="N87"/>
  <c r="N68"/>
  <c r="N19"/>
  <c r="N73"/>
  <c r="N71"/>
  <c r="N50"/>
  <c r="N100"/>
  <c r="R9" i="17"/>
  <c r="N98" i="8"/>
  <c r="N82"/>
  <c r="N27"/>
  <c r="N74"/>
  <c r="N92"/>
  <c r="N52"/>
  <c r="N29"/>
  <c r="N46"/>
  <c r="N33"/>
  <c r="N25"/>
  <c r="N84"/>
  <c r="N104"/>
  <c r="N85"/>
  <c r="N90"/>
  <c r="N89"/>
  <c r="N12"/>
  <c r="N37"/>
  <c r="N13"/>
  <c r="N44"/>
  <c r="N83"/>
  <c r="N55"/>
  <c r="N67"/>
  <c r="N21"/>
  <c r="N15"/>
  <c r="N59"/>
  <c r="N66"/>
  <c r="N38"/>
  <c r="N23"/>
  <c r="N95"/>
  <c r="N78"/>
  <c r="N75"/>
  <c r="N10"/>
  <c r="N28"/>
  <c r="N99"/>
  <c r="N81"/>
  <c r="N30"/>
  <c r="N24"/>
  <c r="N26"/>
  <c r="N96"/>
  <c r="N47"/>
  <c r="N51"/>
  <c r="N101"/>
  <c r="N42"/>
  <c r="N76"/>
  <c r="N93"/>
  <c r="N43"/>
  <c r="N45"/>
  <c r="N41"/>
  <c r="N143" i="17"/>
  <c r="O178"/>
  <c r="N170"/>
  <c r="O90"/>
  <c r="O124"/>
  <c r="N177"/>
  <c r="M167"/>
  <c r="M168"/>
  <c r="M166"/>
  <c r="N44"/>
  <c r="M47"/>
  <c r="M48"/>
  <c r="S9" l="1"/>
  <c r="S4" i="12"/>
  <c r="J12" i="19" s="1"/>
  <c r="O40" i="8"/>
  <c r="O71"/>
  <c r="O80"/>
  <c r="O99"/>
  <c r="O104"/>
  <c r="O61"/>
  <c r="O49"/>
  <c r="O20"/>
  <c r="O16"/>
  <c r="O18"/>
  <c r="O77"/>
  <c r="O55"/>
  <c r="O95"/>
  <c r="O34"/>
  <c r="O45"/>
  <c r="O59"/>
  <c r="O74"/>
  <c r="O73"/>
  <c r="O62"/>
  <c r="O56"/>
  <c r="O89"/>
  <c r="O14"/>
  <c r="O60"/>
  <c r="O46"/>
  <c r="O26"/>
  <c r="O81"/>
  <c r="O87"/>
  <c r="O76"/>
  <c r="O94"/>
  <c r="O100"/>
  <c r="O24"/>
  <c r="O64"/>
  <c r="O63"/>
  <c r="O88"/>
  <c r="O33"/>
  <c r="O85"/>
  <c r="O67"/>
  <c r="O48"/>
  <c r="O83"/>
  <c r="O21"/>
  <c r="O39"/>
  <c r="O93"/>
  <c r="O58"/>
  <c r="O70"/>
  <c r="O68"/>
  <c r="O37"/>
  <c r="O53"/>
  <c r="O15"/>
  <c r="O57"/>
  <c r="O69"/>
  <c r="O43"/>
  <c r="O84"/>
  <c r="O30"/>
  <c r="O47"/>
  <c r="O96"/>
  <c r="P9"/>
  <c r="O51"/>
  <c r="O54"/>
  <c r="O72"/>
  <c r="O28"/>
  <c r="O52"/>
  <c r="O86"/>
  <c r="O32"/>
  <c r="O102"/>
  <c r="O25"/>
  <c r="O103"/>
  <c r="O12"/>
  <c r="O75"/>
  <c r="O19"/>
  <c r="O82"/>
  <c r="O50"/>
  <c r="O65"/>
  <c r="O17"/>
  <c r="O90"/>
  <c r="O91"/>
  <c r="O27"/>
  <c r="O79"/>
  <c r="O22"/>
  <c r="O42"/>
  <c r="O66"/>
  <c r="O98"/>
  <c r="O35"/>
  <c r="O23"/>
  <c r="O36"/>
  <c r="O44"/>
  <c r="O41"/>
  <c r="O101"/>
  <c r="O11"/>
  <c r="O92"/>
  <c r="O10"/>
  <c r="O38"/>
  <c r="O13"/>
  <c r="O78"/>
  <c r="O97"/>
  <c r="O29"/>
  <c r="O31"/>
  <c r="N166" i="17"/>
  <c r="N47"/>
  <c r="N167"/>
  <c r="O177"/>
  <c r="N168"/>
  <c r="N48"/>
  <c r="O44"/>
  <c r="P90"/>
  <c r="P124"/>
  <c r="O170"/>
  <c r="O143"/>
  <c r="P178"/>
  <c r="N122"/>
  <c r="P56" i="8" l="1"/>
  <c r="P69"/>
  <c r="P26"/>
  <c r="P75"/>
  <c r="P54"/>
  <c r="P58"/>
  <c r="P60"/>
  <c r="P101"/>
  <c r="P94"/>
  <c r="P23"/>
  <c r="P31"/>
  <c r="P48"/>
  <c r="P49"/>
  <c r="P97"/>
  <c r="P59"/>
  <c r="P12"/>
  <c r="P64"/>
  <c r="P95"/>
  <c r="P51"/>
  <c r="P89"/>
  <c r="P74"/>
  <c r="P32"/>
  <c r="P63"/>
  <c r="P67"/>
  <c r="P62"/>
  <c r="T9" i="17"/>
  <c r="P91" i="8"/>
  <c r="P27"/>
  <c r="P40"/>
  <c r="P100"/>
  <c r="P10"/>
  <c r="P25"/>
  <c r="P86"/>
  <c r="P21"/>
  <c r="P99"/>
  <c r="P70"/>
  <c r="P47"/>
  <c r="P66"/>
  <c r="P37"/>
  <c r="P92"/>
  <c r="P90"/>
  <c r="P71"/>
  <c r="P96"/>
  <c r="Q9"/>
  <c r="T4" i="12"/>
  <c r="K12" i="19" s="1"/>
  <c r="P73" i="8"/>
  <c r="P41"/>
  <c r="P36"/>
  <c r="P102"/>
  <c r="P20"/>
  <c r="P13"/>
  <c r="P79"/>
  <c r="P104"/>
  <c r="P15"/>
  <c r="P28"/>
  <c r="P43"/>
  <c r="P11"/>
  <c r="P52"/>
  <c r="P50"/>
  <c r="P72"/>
  <c r="P77"/>
  <c r="P34"/>
  <c r="P81"/>
  <c r="P68"/>
  <c r="P78"/>
  <c r="P103"/>
  <c r="P88"/>
  <c r="P35"/>
  <c r="P18"/>
  <c r="P33"/>
  <c r="P19"/>
  <c r="P80"/>
  <c r="P57"/>
  <c r="P30"/>
  <c r="P39"/>
  <c r="P17"/>
  <c r="P38"/>
  <c r="P14"/>
  <c r="P16"/>
  <c r="P42"/>
  <c r="P83"/>
  <c r="P44"/>
  <c r="P85"/>
  <c r="P29"/>
  <c r="P93"/>
  <c r="P87"/>
  <c r="P22"/>
  <c r="P53"/>
  <c r="P76"/>
  <c r="P82"/>
  <c r="P65"/>
  <c r="P45"/>
  <c r="P84"/>
  <c r="P24"/>
  <c r="P61"/>
  <c r="P46"/>
  <c r="P55"/>
  <c r="P98"/>
  <c r="O48" i="17"/>
  <c r="P44"/>
  <c r="O47"/>
  <c r="O168"/>
  <c r="P177"/>
  <c r="O167"/>
  <c r="O166"/>
  <c r="Q90"/>
  <c r="Q124"/>
  <c r="Q178"/>
  <c r="P170"/>
  <c r="P143"/>
  <c r="O122"/>
  <c r="U9" l="1"/>
  <c r="Q51" i="8"/>
  <c r="Q33"/>
  <c r="Q87"/>
  <c r="Q89"/>
  <c r="Q88"/>
  <c r="Q68"/>
  <c r="Q63"/>
  <c r="Q34"/>
  <c r="Q12"/>
  <c r="Q60"/>
  <c r="Q26"/>
  <c r="Q94"/>
  <c r="Q13"/>
  <c r="Q84"/>
  <c r="Q82"/>
  <c r="Q101"/>
  <c r="Q23"/>
  <c r="Q28"/>
  <c r="Q59"/>
  <c r="Q41"/>
  <c r="Q76"/>
  <c r="Q54"/>
  <c r="Q92"/>
  <c r="Q14"/>
  <c r="Q86"/>
  <c r="Q79"/>
  <c r="Q49"/>
  <c r="Q42"/>
  <c r="Q15"/>
  <c r="Q62"/>
  <c r="Q66"/>
  <c r="Q21"/>
  <c r="Q74"/>
  <c r="Q10"/>
  <c r="Q104"/>
  <c r="Q53"/>
  <c r="Q73"/>
  <c r="R9"/>
  <c r="Q11"/>
  <c r="Q80"/>
  <c r="Q55"/>
  <c r="Q72"/>
  <c r="U4" i="12"/>
  <c r="H16" i="19" s="1"/>
  <c r="Q57" i="8"/>
  <c r="Q47"/>
  <c r="Q91"/>
  <c r="Q61"/>
  <c r="Q48"/>
  <c r="Q39"/>
  <c r="Q36"/>
  <c r="Q78"/>
  <c r="Q45"/>
  <c r="Q100"/>
  <c r="Q30"/>
  <c r="Q20"/>
  <c r="Q35"/>
  <c r="Q97"/>
  <c r="Q67"/>
  <c r="Q95"/>
  <c r="Q70"/>
  <c r="Q56"/>
  <c r="Q77"/>
  <c r="Q32"/>
  <c r="Q90"/>
  <c r="Q58"/>
  <c r="Q65"/>
  <c r="Q46"/>
  <c r="Q27"/>
  <c r="Q40"/>
  <c r="Q81"/>
  <c r="Q64"/>
  <c r="Q18"/>
  <c r="Q50"/>
  <c r="Q102"/>
  <c r="Q83"/>
  <c r="Q19"/>
  <c r="Q22"/>
  <c r="Q24"/>
  <c r="Q17"/>
  <c r="Q69"/>
  <c r="Q16"/>
  <c r="Q98"/>
  <c r="Q96"/>
  <c r="Q75"/>
  <c r="Q99"/>
  <c r="Q44"/>
  <c r="Q93"/>
  <c r="Q71"/>
  <c r="Q85"/>
  <c r="Q31"/>
  <c r="Q43"/>
  <c r="Q29"/>
  <c r="Q103"/>
  <c r="Q37"/>
  <c r="Q25"/>
  <c r="Q38"/>
  <c r="Q52"/>
  <c r="P48" i="17"/>
  <c r="Q44"/>
  <c r="Q177"/>
  <c r="P167"/>
  <c r="P168"/>
  <c r="P47"/>
  <c r="P166"/>
  <c r="R124"/>
  <c r="R90"/>
  <c r="Q143"/>
  <c r="R178"/>
  <c r="Q170"/>
  <c r="P122"/>
  <c r="R56" i="8" l="1"/>
  <c r="R68"/>
  <c r="R31"/>
  <c r="R29"/>
  <c r="R54"/>
  <c r="R49"/>
  <c r="R89"/>
  <c r="R83"/>
  <c r="R71"/>
  <c r="R10"/>
  <c r="R60"/>
  <c r="R18"/>
  <c r="R79"/>
  <c r="R101"/>
  <c r="R40"/>
  <c r="R38"/>
  <c r="R19"/>
  <c r="R32"/>
  <c r="R39"/>
  <c r="R85"/>
  <c r="R24"/>
  <c r="R96"/>
  <c r="R35"/>
  <c r="R42"/>
  <c r="R17"/>
  <c r="R52"/>
  <c r="R73"/>
  <c r="R57"/>
  <c r="R93"/>
  <c r="R50"/>
  <c r="R37"/>
  <c r="R103"/>
  <c r="R62"/>
  <c r="R91"/>
  <c r="R13"/>
  <c r="R87"/>
  <c r="R11"/>
  <c r="R22"/>
  <c r="R75"/>
  <c r="R77"/>
  <c r="R28"/>
  <c r="R59"/>
  <c r="R53"/>
  <c r="V9" i="17"/>
  <c r="V4" i="12"/>
  <c r="R47" i="8"/>
  <c r="R72"/>
  <c r="R23"/>
  <c r="R78"/>
  <c r="R30"/>
  <c r="R58"/>
  <c r="R99"/>
  <c r="R97"/>
  <c r="S9"/>
  <c r="R51"/>
  <c r="R98"/>
  <c r="R88"/>
  <c r="R27"/>
  <c r="R14"/>
  <c r="R25"/>
  <c r="R44"/>
  <c r="R90"/>
  <c r="R61"/>
  <c r="R74"/>
  <c r="R67"/>
  <c r="R43"/>
  <c r="R64"/>
  <c r="R92"/>
  <c r="R48"/>
  <c r="R63"/>
  <c r="R65"/>
  <c r="R66"/>
  <c r="R26"/>
  <c r="R95"/>
  <c r="R36"/>
  <c r="R100"/>
  <c r="R80"/>
  <c r="R41"/>
  <c r="R84"/>
  <c r="R81"/>
  <c r="R16"/>
  <c r="R55"/>
  <c r="R82"/>
  <c r="R12"/>
  <c r="R20"/>
  <c r="R45"/>
  <c r="R86"/>
  <c r="R46"/>
  <c r="R21"/>
  <c r="R102"/>
  <c r="R104"/>
  <c r="R70"/>
  <c r="R15"/>
  <c r="R69"/>
  <c r="R76"/>
  <c r="R94"/>
  <c r="R33"/>
  <c r="R34"/>
  <c r="S90" i="17"/>
  <c r="R170"/>
  <c r="R143"/>
  <c r="S124"/>
  <c r="S178"/>
  <c r="R177"/>
  <c r="Q47"/>
  <c r="Q167"/>
  <c r="Q168"/>
  <c r="Q48"/>
  <c r="Q166"/>
  <c r="R44"/>
  <c r="Q122"/>
  <c r="W9" l="1"/>
  <c r="S34" i="8"/>
  <c r="S62"/>
  <c r="S81"/>
  <c r="S12"/>
  <c r="S39"/>
  <c r="S99"/>
  <c r="S37"/>
  <c r="S86"/>
  <c r="S88"/>
  <c r="S49"/>
  <c r="S82"/>
  <c r="S32"/>
  <c r="S19"/>
  <c r="S10"/>
  <c r="S14"/>
  <c r="S101"/>
  <c r="S66"/>
  <c r="S72"/>
  <c r="S61"/>
  <c r="S92"/>
  <c r="S29"/>
  <c r="S87"/>
  <c r="S30"/>
  <c r="S89"/>
  <c r="S44"/>
  <c r="S59"/>
  <c r="S96"/>
  <c r="S78"/>
  <c r="S85"/>
  <c r="S20"/>
  <c r="S57"/>
  <c r="S41"/>
  <c r="S93"/>
  <c r="S63"/>
  <c r="S43"/>
  <c r="S69"/>
  <c r="S52"/>
  <c r="S46"/>
  <c r="S50"/>
  <c r="S75"/>
  <c r="S35"/>
  <c r="S40"/>
  <c r="S56"/>
  <c r="W4" i="12"/>
  <c r="S28" i="8"/>
  <c r="S60"/>
  <c r="S15"/>
  <c r="S16"/>
  <c r="S103"/>
  <c r="S38"/>
  <c r="S47"/>
  <c r="S90"/>
  <c r="S97"/>
  <c r="S11"/>
  <c r="S64"/>
  <c r="S65"/>
  <c r="S24"/>
  <c r="S25"/>
  <c r="S94"/>
  <c r="S71"/>
  <c r="S36"/>
  <c r="S53"/>
  <c r="S95"/>
  <c r="S104"/>
  <c r="S23"/>
  <c r="S51"/>
  <c r="S58"/>
  <c r="S73"/>
  <c r="S102"/>
  <c r="S45"/>
  <c r="S48"/>
  <c r="S91"/>
  <c r="T9"/>
  <c r="S98"/>
  <c r="S80"/>
  <c r="S100"/>
  <c r="S77"/>
  <c r="S76"/>
  <c r="S54"/>
  <c r="S67"/>
  <c r="S31"/>
  <c r="S22"/>
  <c r="S74"/>
  <c r="S17"/>
  <c r="S79"/>
  <c r="S18"/>
  <c r="S42"/>
  <c r="S26"/>
  <c r="S13"/>
  <c r="S83"/>
  <c r="S55"/>
  <c r="S33"/>
  <c r="S68"/>
  <c r="S27"/>
  <c r="S84"/>
  <c r="S70"/>
  <c r="S21"/>
  <c r="S44" i="17"/>
  <c r="S122" s="1"/>
  <c r="R167"/>
  <c r="R47"/>
  <c r="R166"/>
  <c r="S177"/>
  <c r="R168"/>
  <c r="R48"/>
  <c r="S143"/>
  <c r="T178"/>
  <c r="T124"/>
  <c r="S170"/>
  <c r="T90"/>
  <c r="R122"/>
  <c r="T56" i="8" l="1"/>
  <c r="T57"/>
  <c r="T13"/>
  <c r="T92"/>
  <c r="T34"/>
  <c r="T74"/>
  <c r="T90"/>
  <c r="T81"/>
  <c r="T79"/>
  <c r="T73"/>
  <c r="T78"/>
  <c r="T98"/>
  <c r="T17"/>
  <c r="T22"/>
  <c r="T42"/>
  <c r="T70"/>
  <c r="T71"/>
  <c r="T25"/>
  <c r="T26"/>
  <c r="T54"/>
  <c r="T59"/>
  <c r="T84"/>
  <c r="T50"/>
  <c r="T60"/>
  <c r="T28"/>
  <c r="T103"/>
  <c r="T31"/>
  <c r="T33"/>
  <c r="T94"/>
  <c r="U9"/>
  <c r="T49"/>
  <c r="T48"/>
  <c r="T21"/>
  <c r="T32"/>
  <c r="T64"/>
  <c r="T80"/>
  <c r="T93"/>
  <c r="T69"/>
  <c r="T87"/>
  <c r="T16"/>
  <c r="T89"/>
  <c r="T76"/>
  <c r="T29"/>
  <c r="X4" i="12"/>
  <c r="T24" i="8"/>
  <c r="T11"/>
  <c r="T51"/>
  <c r="T52"/>
  <c r="T15"/>
  <c r="T66"/>
  <c r="T37"/>
  <c r="T99"/>
  <c r="T68"/>
  <c r="T39"/>
  <c r="T72"/>
  <c r="T23"/>
  <c r="T96"/>
  <c r="T14"/>
  <c r="T104"/>
  <c r="T43"/>
  <c r="T97"/>
  <c r="T41"/>
  <c r="T88"/>
  <c r="T40"/>
  <c r="T63"/>
  <c r="T46"/>
  <c r="T65"/>
  <c r="T100"/>
  <c r="T45"/>
  <c r="T102"/>
  <c r="T58"/>
  <c r="T38"/>
  <c r="T53"/>
  <c r="T18"/>
  <c r="T27"/>
  <c r="T47"/>
  <c r="T83"/>
  <c r="T77"/>
  <c r="T30"/>
  <c r="X9" i="17"/>
  <c r="T55" i="8"/>
  <c r="T19"/>
  <c r="T44"/>
  <c r="T20"/>
  <c r="T82"/>
  <c r="T85"/>
  <c r="T91"/>
  <c r="T12"/>
  <c r="T62"/>
  <c r="T67"/>
  <c r="T35"/>
  <c r="T36"/>
  <c r="T61"/>
  <c r="T95"/>
  <c r="T101"/>
  <c r="T10"/>
  <c r="T86"/>
  <c r="T75"/>
  <c r="U90" i="17"/>
  <c r="T170"/>
  <c r="U124"/>
  <c r="U178"/>
  <c r="T143"/>
  <c r="S166"/>
  <c r="S168"/>
  <c r="T177"/>
  <c r="S167"/>
  <c r="S47"/>
  <c r="S48"/>
  <c r="T44"/>
  <c r="Y9" l="1"/>
  <c r="U46" i="8"/>
  <c r="U78"/>
  <c r="U71"/>
  <c r="U91"/>
  <c r="U36"/>
  <c r="U53"/>
  <c r="U61"/>
  <c r="U84"/>
  <c r="U65"/>
  <c r="U21"/>
  <c r="U70"/>
  <c r="U18"/>
  <c r="U27"/>
  <c r="U62"/>
  <c r="U56"/>
  <c r="U94"/>
  <c r="U20"/>
  <c r="U96"/>
  <c r="U67"/>
  <c r="U11"/>
  <c r="U77"/>
  <c r="U48"/>
  <c r="U54"/>
  <c r="U85"/>
  <c r="U75"/>
  <c r="U44"/>
  <c r="U73"/>
  <c r="U88"/>
  <c r="U47"/>
  <c r="V9"/>
  <c r="U23"/>
  <c r="U95"/>
  <c r="U93"/>
  <c r="U81"/>
  <c r="U76"/>
  <c r="U37"/>
  <c r="Y4" i="12"/>
  <c r="U42" i="8"/>
  <c r="U82"/>
  <c r="U40"/>
  <c r="U68"/>
  <c r="U51"/>
  <c r="U59"/>
  <c r="U43"/>
  <c r="U58"/>
  <c r="U24"/>
  <c r="U39"/>
  <c r="U57"/>
  <c r="U102"/>
  <c r="U15"/>
  <c r="U92"/>
  <c r="U10"/>
  <c r="U19"/>
  <c r="U14"/>
  <c r="U55"/>
  <c r="U31"/>
  <c r="U74"/>
  <c r="U52"/>
  <c r="U33"/>
  <c r="U60"/>
  <c r="U66"/>
  <c r="U13"/>
  <c r="U89"/>
  <c r="U29"/>
  <c r="U30"/>
  <c r="U97"/>
  <c r="U64"/>
  <c r="U25"/>
  <c r="U80"/>
  <c r="U87"/>
  <c r="U63"/>
  <c r="U99"/>
  <c r="U35"/>
  <c r="U26"/>
  <c r="U34"/>
  <c r="U12"/>
  <c r="U100"/>
  <c r="U103"/>
  <c r="U16"/>
  <c r="U83"/>
  <c r="U98"/>
  <c r="U101"/>
  <c r="U72"/>
  <c r="U32"/>
  <c r="U49"/>
  <c r="U50"/>
  <c r="U79"/>
  <c r="U41"/>
  <c r="U28"/>
  <c r="U38"/>
  <c r="U17"/>
  <c r="U69"/>
  <c r="U104"/>
  <c r="U90"/>
  <c r="U22"/>
  <c r="U86"/>
  <c r="U45"/>
  <c r="T47" i="17"/>
  <c r="U44"/>
  <c r="T48"/>
  <c r="U122"/>
  <c r="T168"/>
  <c r="T167"/>
  <c r="T166"/>
  <c r="U177"/>
  <c r="U170"/>
  <c r="V178"/>
  <c r="V124"/>
  <c r="U143"/>
  <c r="T122"/>
  <c r="V56" i="8" l="1"/>
  <c r="Z9" i="17"/>
  <c r="V42" i="8"/>
  <c r="V28"/>
  <c r="V103"/>
  <c r="V46"/>
  <c r="V73"/>
  <c r="V33"/>
  <c r="V10"/>
  <c r="V37"/>
  <c r="V71"/>
  <c r="V65"/>
  <c r="V99"/>
  <c r="V104"/>
  <c r="V58"/>
  <c r="V63"/>
  <c r="V48"/>
  <c r="V91"/>
  <c r="V84"/>
  <c r="V16"/>
  <c r="V50"/>
  <c r="V102"/>
  <c r="V53"/>
  <c r="V24"/>
  <c r="V98"/>
  <c r="V67"/>
  <c r="V41"/>
  <c r="V47"/>
  <c r="V40"/>
  <c r="V70"/>
  <c r="V15"/>
  <c r="V17"/>
  <c r="V11"/>
  <c r="V39"/>
  <c r="V101"/>
  <c r="V89"/>
  <c r="V35"/>
  <c r="V86"/>
  <c r="V27"/>
  <c r="V92"/>
  <c r="V81"/>
  <c r="V87"/>
  <c r="V45"/>
  <c r="V94"/>
  <c r="V25"/>
  <c r="V83"/>
  <c r="V23"/>
  <c r="V69"/>
  <c r="V51"/>
  <c r="V21"/>
  <c r="V62"/>
  <c r="V59"/>
  <c r="V76"/>
  <c r="V60"/>
  <c r="V12"/>
  <c r="V64"/>
  <c r="V52"/>
  <c r="V74"/>
  <c r="V93"/>
  <c r="V32"/>
  <c r="V34"/>
  <c r="V29"/>
  <c r="V96"/>
  <c r="V44"/>
  <c r="V13"/>
  <c r="V20"/>
  <c r="V78"/>
  <c r="V88"/>
  <c r="W9"/>
  <c r="V55"/>
  <c r="V79"/>
  <c r="V54"/>
  <c r="V85"/>
  <c r="V14"/>
  <c r="V72"/>
  <c r="V95"/>
  <c r="V31"/>
  <c r="V26"/>
  <c r="V43"/>
  <c r="V100"/>
  <c r="V30"/>
  <c r="V66"/>
  <c r="V18"/>
  <c r="V90"/>
  <c r="V36"/>
  <c r="V77"/>
  <c r="Z4" i="12"/>
  <c r="V38" i="8"/>
  <c r="V97"/>
  <c r="V80"/>
  <c r="V82"/>
  <c r="V19"/>
  <c r="V22"/>
  <c r="V68"/>
  <c r="V61"/>
  <c r="V49"/>
  <c r="V57"/>
  <c r="V75"/>
  <c r="U47" i="17"/>
  <c r="U168"/>
  <c r="V122"/>
  <c r="V177"/>
  <c r="U166"/>
  <c r="U167"/>
  <c r="U48"/>
  <c r="AA9" l="1"/>
  <c r="W56" i="8"/>
  <c r="W74"/>
  <c r="W65"/>
  <c r="W69"/>
  <c r="W39"/>
  <c r="W41"/>
  <c r="W76"/>
  <c r="W36"/>
  <c r="W55"/>
  <c r="W102"/>
  <c r="W34"/>
  <c r="W82"/>
  <c r="W16"/>
  <c r="W98"/>
  <c r="W70"/>
  <c r="W24"/>
  <c r="W93"/>
  <c r="W59"/>
  <c r="W37"/>
  <c r="W53"/>
  <c r="W21"/>
  <c r="W44"/>
  <c r="W51"/>
  <c r="W81"/>
  <c r="W94"/>
  <c r="W57"/>
  <c r="W62"/>
  <c r="W58"/>
  <c r="W30"/>
  <c r="W11"/>
  <c r="W13"/>
  <c r="W49"/>
  <c r="W71"/>
  <c r="W47"/>
  <c r="W28"/>
  <c r="W100"/>
  <c r="W75"/>
  <c r="W66"/>
  <c r="W60"/>
  <c r="W73"/>
  <c r="W18"/>
  <c r="W33"/>
  <c r="W50"/>
  <c r="W96"/>
  <c r="W95"/>
  <c r="W80"/>
  <c r="W17"/>
  <c r="W84"/>
  <c r="W101"/>
  <c r="W103"/>
  <c r="W86"/>
  <c r="W87"/>
  <c r="W15"/>
  <c r="W35"/>
  <c r="W67"/>
  <c r="W88"/>
  <c r="W12"/>
  <c r="W27"/>
  <c r="W79"/>
  <c r="W43"/>
  <c r="W46"/>
  <c r="W26"/>
  <c r="W32"/>
  <c r="W48"/>
  <c r="W52"/>
  <c r="W99"/>
  <c r="W97"/>
  <c r="W22"/>
  <c r="W45"/>
  <c r="W92"/>
  <c r="W31"/>
  <c r="W85"/>
  <c r="W20"/>
  <c r="W61"/>
  <c r="W78"/>
  <c r="W90"/>
  <c r="W63"/>
  <c r="W38"/>
  <c r="W42"/>
  <c r="W19"/>
  <c r="W54"/>
  <c r="W83"/>
  <c r="W64"/>
  <c r="W77"/>
  <c r="W104"/>
  <c r="AA4" i="12"/>
  <c r="W14" i="8"/>
  <c r="W68"/>
  <c r="W72"/>
  <c r="W10"/>
  <c r="X9"/>
  <c r="W91"/>
  <c r="W29"/>
  <c r="W25"/>
  <c r="W23"/>
  <c r="W89"/>
  <c r="W40"/>
  <c r="X56" l="1"/>
  <c r="X59"/>
  <c r="X57"/>
  <c r="X20"/>
  <c r="X80"/>
  <c r="X42"/>
  <c r="X76"/>
  <c r="X40"/>
  <c r="X95"/>
  <c r="X69"/>
  <c r="X31"/>
  <c r="X81"/>
  <c r="X77"/>
  <c r="X103"/>
  <c r="X14"/>
  <c r="X100"/>
  <c r="X68"/>
  <c r="X90"/>
  <c r="X75"/>
  <c r="X74"/>
  <c r="X19"/>
  <c r="X64"/>
  <c r="X30"/>
  <c r="X62"/>
  <c r="X94"/>
  <c r="X47"/>
  <c r="X51"/>
  <c r="X45"/>
  <c r="X22"/>
  <c r="X13"/>
  <c r="X87"/>
  <c r="X28"/>
  <c r="X96"/>
  <c r="X104"/>
  <c r="X85"/>
  <c r="X18"/>
  <c r="X60"/>
  <c r="X11"/>
  <c r="X12"/>
  <c r="X83"/>
  <c r="X71"/>
  <c r="X99"/>
  <c r="X49"/>
  <c r="X17"/>
  <c r="X43"/>
  <c r="X36"/>
  <c r="X27"/>
  <c r="X34"/>
  <c r="X46"/>
  <c r="Y9"/>
  <c r="X15"/>
  <c r="X32"/>
  <c r="X67"/>
  <c r="X66"/>
  <c r="X73"/>
  <c r="X86"/>
  <c r="X23"/>
  <c r="X48"/>
  <c r="X41"/>
  <c r="X37"/>
  <c r="X29"/>
  <c r="X16"/>
  <c r="X78"/>
  <c r="X10"/>
  <c r="X35"/>
  <c r="X24"/>
  <c r="X65"/>
  <c r="X97"/>
  <c r="X50"/>
  <c r="X72"/>
  <c r="X92"/>
  <c r="X55"/>
  <c r="X54"/>
  <c r="AB9" i="17"/>
  <c r="AB4" i="12"/>
  <c r="X91" i="8"/>
  <c r="X21"/>
  <c r="X39"/>
  <c r="X70"/>
  <c r="X102"/>
  <c r="X26"/>
  <c r="X84"/>
  <c r="X93"/>
  <c r="X33"/>
  <c r="X82"/>
  <c r="X25"/>
  <c r="X98"/>
  <c r="X88"/>
  <c r="X52"/>
  <c r="X63"/>
  <c r="X58"/>
  <c r="X101"/>
  <c r="X44"/>
  <c r="X79"/>
  <c r="X61"/>
  <c r="X38"/>
  <c r="X89"/>
  <c r="X53"/>
  <c r="AC9" i="17" l="1"/>
  <c r="Y46" i="8"/>
  <c r="Y43"/>
  <c r="Y36"/>
  <c r="Y72"/>
  <c r="Y42"/>
  <c r="Y38"/>
  <c r="Y101"/>
  <c r="Y102"/>
  <c r="Y54"/>
  <c r="Y86"/>
  <c r="Y34"/>
  <c r="Y25"/>
  <c r="Y29"/>
  <c r="Y57"/>
  <c r="Y98"/>
  <c r="Y27"/>
  <c r="Y40"/>
  <c r="Y21"/>
  <c r="Y95"/>
  <c r="Y12"/>
  <c r="Y61"/>
  <c r="Y74"/>
  <c r="Y47"/>
  <c r="Y23"/>
  <c r="Y51"/>
  <c r="Y37"/>
  <c r="Y53"/>
  <c r="Y78"/>
  <c r="Y97"/>
  <c r="Y41"/>
  <c r="Y58"/>
  <c r="Y103"/>
  <c r="Y85"/>
  <c r="Y80"/>
  <c r="Y76"/>
  <c r="Y18"/>
  <c r="Y69"/>
  <c r="Y70"/>
  <c r="Y90"/>
  <c r="Y45"/>
  <c r="Y17"/>
  <c r="Y91"/>
  <c r="Y31"/>
  <c r="Y63"/>
  <c r="Y35"/>
  <c r="Y71"/>
  <c r="Y19"/>
  <c r="Y96"/>
  <c r="Y60"/>
  <c r="Y15"/>
  <c r="Y22"/>
  <c r="Y94"/>
  <c r="Y50"/>
  <c r="Y73"/>
  <c r="Y59"/>
  <c r="Y14"/>
  <c r="Y68"/>
  <c r="Y82"/>
  <c r="Y26"/>
  <c r="Y79"/>
  <c r="Y87"/>
  <c r="Y104"/>
  <c r="Y52"/>
  <c r="Y30"/>
  <c r="Y44"/>
  <c r="Y67"/>
  <c r="Y81"/>
  <c r="Y48"/>
  <c r="Y13"/>
  <c r="Y84"/>
  <c r="Y64"/>
  <c r="Y93"/>
  <c r="Y56"/>
  <c r="AC4" i="12"/>
  <c r="Y39" i="8"/>
  <c r="Y33"/>
  <c r="Y89"/>
  <c r="Y77"/>
  <c r="Y28"/>
  <c r="Y55"/>
  <c r="Y62"/>
  <c r="Y88"/>
  <c r="Y24"/>
  <c r="Y75"/>
  <c r="Y11"/>
  <c r="Y20"/>
  <c r="Y65"/>
  <c r="Y83"/>
  <c r="Y92"/>
  <c r="Y32"/>
  <c r="Y10"/>
  <c r="Z9"/>
  <c r="Y49"/>
  <c r="Y100"/>
  <c r="Y99"/>
  <c r="Y16"/>
  <c r="Y66"/>
  <c r="Z56" l="1"/>
  <c r="AD9" i="17"/>
  <c r="Z85" i="8"/>
  <c r="AA9"/>
  <c r="Z70"/>
  <c r="Z67"/>
  <c r="Z103"/>
  <c r="Z10"/>
  <c r="Z18"/>
  <c r="Z16"/>
  <c r="Z35"/>
  <c r="Z45"/>
  <c r="Z55"/>
  <c r="Z99"/>
  <c r="Z80"/>
  <c r="Z29"/>
  <c r="Z27"/>
  <c r="Z64"/>
  <c r="Z72"/>
  <c r="Z73"/>
  <c r="Z52"/>
  <c r="Z21"/>
  <c r="Z58"/>
  <c r="Z31"/>
  <c r="Z92"/>
  <c r="Z54"/>
  <c r="Z68"/>
  <c r="Z69"/>
  <c r="Z57"/>
  <c r="Z76"/>
  <c r="Z102"/>
  <c r="Z32"/>
  <c r="Z98"/>
  <c r="Z90"/>
  <c r="Z40"/>
  <c r="Z66"/>
  <c r="Z20"/>
  <c r="Z84"/>
  <c r="Z89"/>
  <c r="Z48"/>
  <c r="Z17"/>
  <c r="Z47"/>
  <c r="Z11"/>
  <c r="Z87"/>
  <c r="Z38"/>
  <c r="Z96"/>
  <c r="Z12"/>
  <c r="Z41"/>
  <c r="Z95"/>
  <c r="Z60"/>
  <c r="Z104"/>
  <c r="Z71"/>
  <c r="Z33"/>
  <c r="Z23"/>
  <c r="Z93"/>
  <c r="Z88"/>
  <c r="Z24"/>
  <c r="Z44"/>
  <c r="Z77"/>
  <c r="Z81"/>
  <c r="Z65"/>
  <c r="Z53"/>
  <c r="Z91"/>
  <c r="Z46"/>
  <c r="Z82"/>
  <c r="Z25"/>
  <c r="Z28"/>
  <c r="Z50"/>
  <c r="Z94"/>
  <c r="Z13"/>
  <c r="Z36"/>
  <c r="Z14"/>
  <c r="Z74"/>
  <c r="Z39"/>
  <c r="AD4" i="12"/>
  <c r="Z79" i="8"/>
  <c r="Z49"/>
  <c r="Z30"/>
  <c r="Z100"/>
  <c r="Z75"/>
  <c r="Z37"/>
  <c r="Z22"/>
  <c r="Z78"/>
  <c r="Z62"/>
  <c r="Z63"/>
  <c r="Z42"/>
  <c r="Z43"/>
  <c r="Z61"/>
  <c r="Z83"/>
  <c r="Z15"/>
  <c r="Z26"/>
  <c r="Z59"/>
  <c r="Z34"/>
  <c r="Z101"/>
  <c r="Z51"/>
  <c r="Z19"/>
  <c r="Z97"/>
  <c r="Z86"/>
  <c r="AE9" i="17" l="1"/>
  <c r="AA13" i="8"/>
  <c r="AA50"/>
  <c r="AA78"/>
  <c r="AA40"/>
  <c r="AA66"/>
  <c r="AA100"/>
  <c r="AA91"/>
  <c r="AA92"/>
  <c r="AA16"/>
  <c r="AA90"/>
  <c r="AA32"/>
  <c r="AA61"/>
  <c r="AA94"/>
  <c r="AA79"/>
  <c r="AA93"/>
  <c r="AA11"/>
  <c r="AA64"/>
  <c r="AA39"/>
  <c r="AA33"/>
  <c r="AA80"/>
  <c r="AA87"/>
  <c r="AA82"/>
  <c r="AA99"/>
  <c r="AA10"/>
  <c r="AA62"/>
  <c r="AA59"/>
  <c r="AA29"/>
  <c r="AA36"/>
  <c r="AA52"/>
  <c r="AA95"/>
  <c r="AA85"/>
  <c r="AA76"/>
  <c r="AA70"/>
  <c r="AA46"/>
  <c r="AA47"/>
  <c r="AA89"/>
  <c r="AA38"/>
  <c r="AA31"/>
  <c r="AA53"/>
  <c r="AA98"/>
  <c r="AA63"/>
  <c r="AA60"/>
  <c r="AA72"/>
  <c r="AA42"/>
  <c r="AB9"/>
  <c r="AA81"/>
  <c r="AA45"/>
  <c r="AA96"/>
  <c r="AA30"/>
  <c r="AA65"/>
  <c r="AA35"/>
  <c r="AA21"/>
  <c r="AA69"/>
  <c r="AA55"/>
  <c r="AA25"/>
  <c r="AA101"/>
  <c r="AA23"/>
  <c r="AA58"/>
  <c r="AA67"/>
  <c r="AA68"/>
  <c r="AA103"/>
  <c r="AA22"/>
  <c r="AA49"/>
  <c r="AA86"/>
  <c r="AA77"/>
  <c r="AA57"/>
  <c r="AA37"/>
  <c r="AA12"/>
  <c r="AA19"/>
  <c r="AA24"/>
  <c r="AA34"/>
  <c r="AA41"/>
  <c r="AA56"/>
  <c r="AE4" i="12"/>
  <c r="AA17" i="8"/>
  <c r="AA88"/>
  <c r="AA71"/>
  <c r="AA44"/>
  <c r="AA14"/>
  <c r="AA54"/>
  <c r="AA28"/>
  <c r="AA27"/>
  <c r="AA102"/>
  <c r="AA26"/>
  <c r="AA18"/>
  <c r="AA83"/>
  <c r="AA84"/>
  <c r="AA51"/>
  <c r="AA97"/>
  <c r="AA15"/>
  <c r="AA73"/>
  <c r="AA43"/>
  <c r="AA75"/>
  <c r="AA104"/>
  <c r="AA48"/>
  <c r="AA20"/>
  <c r="AA74"/>
  <c r="AB56" l="1"/>
  <c r="AB102"/>
  <c r="AB49"/>
  <c r="AB73"/>
  <c r="AB94"/>
  <c r="AB25"/>
  <c r="AB20"/>
  <c r="AB33"/>
  <c r="AB88"/>
  <c r="AB91"/>
  <c r="AB57"/>
  <c r="AB34"/>
  <c r="AB11"/>
  <c r="AB53"/>
  <c r="AB85"/>
  <c r="AB45"/>
  <c r="AB58"/>
  <c r="AB99"/>
  <c r="AB22"/>
  <c r="AB18"/>
  <c r="AB97"/>
  <c r="AB86"/>
  <c r="AB76"/>
  <c r="AB51"/>
  <c r="AB12"/>
  <c r="AF9" i="17"/>
  <c r="AB52" i="8"/>
  <c r="AB41"/>
  <c r="AB17"/>
  <c r="AB67"/>
  <c r="AB81"/>
  <c r="AB66"/>
  <c r="AB47"/>
  <c r="AB50"/>
  <c r="AB36"/>
  <c r="AB60"/>
  <c r="AB40"/>
  <c r="AB26"/>
  <c r="AB103"/>
  <c r="AB92"/>
  <c r="AB69"/>
  <c r="AB79"/>
  <c r="AB38"/>
  <c r="AB35"/>
  <c r="AB77"/>
  <c r="AB100"/>
  <c r="AB75"/>
  <c r="AB19"/>
  <c r="AB48"/>
  <c r="AB98"/>
  <c r="AB46"/>
  <c r="AB61"/>
  <c r="AB13"/>
  <c r="AB101"/>
  <c r="AB90"/>
  <c r="AB42"/>
  <c r="AB21"/>
  <c r="AB82"/>
  <c r="AB65"/>
  <c r="AB54"/>
  <c r="AB96"/>
  <c r="AB23"/>
  <c r="AB74"/>
  <c r="AB24"/>
  <c r="AB89"/>
  <c r="AB83"/>
  <c r="AB87"/>
  <c r="AB43"/>
  <c r="AB80"/>
  <c r="AB62"/>
  <c r="AB10"/>
  <c r="AB30"/>
  <c r="AB70"/>
  <c r="AB55"/>
  <c r="AF4" i="12"/>
  <c r="AB44" i="8"/>
  <c r="AB27"/>
  <c r="AB63"/>
  <c r="AB14"/>
  <c r="AB37"/>
  <c r="AB84"/>
  <c r="AB95"/>
  <c r="AB93"/>
  <c r="AB71"/>
  <c r="AB31"/>
  <c r="AB78"/>
  <c r="AB28"/>
  <c r="AB32"/>
  <c r="AB16"/>
  <c r="AB104"/>
  <c r="AC9"/>
  <c r="AB59"/>
  <c r="AB39"/>
  <c r="AB15"/>
  <c r="AB29"/>
  <c r="AB68"/>
  <c r="AB72"/>
  <c r="AB64"/>
  <c r="AG9" i="17" l="1"/>
  <c r="AC31" i="8"/>
  <c r="AC38"/>
  <c r="AC37"/>
  <c r="AC57"/>
  <c r="AC100"/>
  <c r="AC78"/>
  <c r="AC91"/>
  <c r="AC27"/>
  <c r="AC36"/>
  <c r="AC62"/>
  <c r="AC39"/>
  <c r="AC30"/>
  <c r="AC17"/>
  <c r="AC83"/>
  <c r="AC63"/>
  <c r="AC71"/>
  <c r="AC99"/>
  <c r="AC47"/>
  <c r="AC25"/>
  <c r="AC72"/>
  <c r="AD9"/>
  <c r="AC81"/>
  <c r="AC96"/>
  <c r="AC97"/>
  <c r="AC56"/>
  <c r="AC13"/>
  <c r="AC19"/>
  <c r="AC20"/>
  <c r="AC49"/>
  <c r="AC93"/>
  <c r="AC76"/>
  <c r="AC74"/>
  <c r="AC42"/>
  <c r="AC101"/>
  <c r="AC82"/>
  <c r="AC23"/>
  <c r="AC46"/>
  <c r="AC89"/>
  <c r="AC73"/>
  <c r="AC95"/>
  <c r="AC48"/>
  <c r="AC50"/>
  <c r="AC21"/>
  <c r="AC12"/>
  <c r="AC65"/>
  <c r="AC45"/>
  <c r="AC80"/>
  <c r="AC51"/>
  <c r="AC69"/>
  <c r="AC77"/>
  <c r="AC10"/>
  <c r="AC64"/>
  <c r="AC44"/>
  <c r="AC94"/>
  <c r="AC90"/>
  <c r="AC58"/>
  <c r="AC92"/>
  <c r="AC55"/>
  <c r="AC35"/>
  <c r="AC33"/>
  <c r="AC86"/>
  <c r="AC59"/>
  <c r="AC66"/>
  <c r="AC75"/>
  <c r="AC41"/>
  <c r="AC24"/>
  <c r="AC22"/>
  <c r="AC88"/>
  <c r="AC43"/>
  <c r="AC32"/>
  <c r="AC18"/>
  <c r="AC28"/>
  <c r="AC54"/>
  <c r="AG4" i="12"/>
  <c r="AC67" i="8"/>
  <c r="AC87"/>
  <c r="AC104"/>
  <c r="AC53"/>
  <c r="AC102"/>
  <c r="AC15"/>
  <c r="AC68"/>
  <c r="AC103"/>
  <c r="AC61"/>
  <c r="AC79"/>
  <c r="AC29"/>
  <c r="AC34"/>
  <c r="AC98"/>
  <c r="AC70"/>
  <c r="AC85"/>
  <c r="AC52"/>
  <c r="AC11"/>
  <c r="AC40"/>
  <c r="AC14"/>
  <c r="AC60"/>
  <c r="AC16"/>
  <c r="AC26"/>
  <c r="AC84"/>
  <c r="AD56" l="1"/>
  <c r="AH9" i="17"/>
  <c r="AD32" i="8"/>
  <c r="AD74"/>
  <c r="AD86"/>
  <c r="AD18"/>
  <c r="AD10"/>
  <c r="AD68"/>
  <c r="AD11"/>
  <c r="AD41"/>
  <c r="AD50"/>
  <c r="AD37"/>
  <c r="AD20"/>
  <c r="AD84"/>
  <c r="AD30"/>
  <c r="AD25"/>
  <c r="AD73"/>
  <c r="AD42"/>
  <c r="AD96"/>
  <c r="AD16"/>
  <c r="AD71"/>
  <c r="AD24"/>
  <c r="AD88"/>
  <c r="AD49"/>
  <c r="AD103"/>
  <c r="AE9"/>
  <c r="AD91"/>
  <c r="AD62"/>
  <c r="AD54"/>
  <c r="AD83"/>
  <c r="AD34"/>
  <c r="AD69"/>
  <c r="AD29"/>
  <c r="AD51"/>
  <c r="AD39"/>
  <c r="AD21"/>
  <c r="AD87"/>
  <c r="AD17"/>
  <c r="AD52"/>
  <c r="AD43"/>
  <c r="AD60"/>
  <c r="AD85"/>
  <c r="AD99"/>
  <c r="AD80"/>
  <c r="AD66"/>
  <c r="AD27"/>
  <c r="AD53"/>
  <c r="AD82"/>
  <c r="AD33"/>
  <c r="AD77"/>
  <c r="AD72"/>
  <c r="AD22"/>
  <c r="AD36"/>
  <c r="AD12"/>
  <c r="AD67"/>
  <c r="AD48"/>
  <c r="AD57"/>
  <c r="AD102"/>
  <c r="AD46"/>
  <c r="AD89"/>
  <c r="AD14"/>
  <c r="AD65"/>
  <c r="AD95"/>
  <c r="AD47"/>
  <c r="AD55"/>
  <c r="AD59"/>
  <c r="AD35"/>
  <c r="AD90"/>
  <c r="AD31"/>
  <c r="AD97"/>
  <c r="AD70"/>
  <c r="AD93"/>
  <c r="AD15"/>
  <c r="AD45"/>
  <c r="AH4" i="12"/>
  <c r="AD61" i="8"/>
  <c r="AD78"/>
  <c r="AD38"/>
  <c r="AD75"/>
  <c r="AD94"/>
  <c r="AD101"/>
  <c r="AD76"/>
  <c r="AD104"/>
  <c r="AD19"/>
  <c r="AD23"/>
  <c r="AD64"/>
  <c r="AD26"/>
  <c r="AD100"/>
  <c r="AD92"/>
  <c r="AD40"/>
  <c r="AD13"/>
  <c r="AD44"/>
  <c r="AD63"/>
  <c r="AD79"/>
  <c r="AD81"/>
  <c r="AD28"/>
  <c r="AD58"/>
  <c r="AD98"/>
  <c r="AI9" i="17" l="1"/>
  <c r="AE56" i="8"/>
  <c r="AE85"/>
  <c r="AE67"/>
  <c r="AE43"/>
  <c r="AE72"/>
  <c r="AE76"/>
  <c r="AE42"/>
  <c r="AF9"/>
  <c r="AE94"/>
  <c r="AE78"/>
  <c r="AE31"/>
  <c r="AE88"/>
  <c r="AE49"/>
  <c r="AE74"/>
  <c r="AE81"/>
  <c r="AE32"/>
  <c r="AE101"/>
  <c r="AE36"/>
  <c r="AE82"/>
  <c r="AE63"/>
  <c r="AE34"/>
  <c r="AE16"/>
  <c r="AE73"/>
  <c r="AE38"/>
  <c r="AE45"/>
  <c r="AE30"/>
  <c r="AE41"/>
  <c r="AE11"/>
  <c r="AE55"/>
  <c r="AE93"/>
  <c r="AE98"/>
  <c r="AE12"/>
  <c r="AE25"/>
  <c r="AE80"/>
  <c r="AE87"/>
  <c r="AE79"/>
  <c r="AE61"/>
  <c r="AE95"/>
  <c r="AE77"/>
  <c r="AE35"/>
  <c r="AE89"/>
  <c r="AE14"/>
  <c r="AE13"/>
  <c r="AE50"/>
  <c r="AE22"/>
  <c r="AE66"/>
  <c r="AE68"/>
  <c r="AE18"/>
  <c r="AE64"/>
  <c r="AE99"/>
  <c r="AE96"/>
  <c r="AE33"/>
  <c r="AE40"/>
  <c r="AE21"/>
  <c r="AE57"/>
  <c r="AE54"/>
  <c r="AE70"/>
  <c r="AE53"/>
  <c r="AE19"/>
  <c r="AE71"/>
  <c r="AE27"/>
  <c r="AE20"/>
  <c r="AE91"/>
  <c r="AE97"/>
  <c r="AE103"/>
  <c r="AE90"/>
  <c r="AE28"/>
  <c r="AE69"/>
  <c r="AE102"/>
  <c r="AE62"/>
  <c r="AE17"/>
  <c r="AE75"/>
  <c r="AE48"/>
  <c r="AI4" i="12"/>
  <c r="AE83" i="8"/>
  <c r="AE10"/>
  <c r="AE104"/>
  <c r="AE65"/>
  <c r="AE100"/>
  <c r="AE46"/>
  <c r="AE29"/>
  <c r="AE52"/>
  <c r="AE39"/>
  <c r="AE58"/>
  <c r="AE23"/>
  <c r="AE44"/>
  <c r="AE26"/>
  <c r="AE15"/>
  <c r="AE24"/>
  <c r="AE92"/>
  <c r="AE47"/>
  <c r="AE60"/>
  <c r="AE59"/>
  <c r="AE86"/>
  <c r="AE37"/>
  <c r="AE51"/>
  <c r="AE84"/>
  <c r="AF56" l="1"/>
  <c r="AF42"/>
  <c r="AF51"/>
  <c r="AF71"/>
  <c r="AF65"/>
  <c r="AF39"/>
  <c r="AF104"/>
  <c r="AF101"/>
  <c r="AF22"/>
  <c r="AF57"/>
  <c r="AF38"/>
  <c r="AF58"/>
  <c r="AF11"/>
  <c r="AF62"/>
  <c r="AF60"/>
  <c r="AF97"/>
  <c r="AF53"/>
  <c r="AF24"/>
  <c r="AF29"/>
  <c r="AF45"/>
  <c r="AF74"/>
  <c r="AF75"/>
  <c r="AF92"/>
  <c r="AF23"/>
  <c r="AF59"/>
  <c r="AF54"/>
  <c r="AF93"/>
  <c r="AF37"/>
  <c r="AF46"/>
  <c r="AF81"/>
  <c r="AF12"/>
  <c r="AF102"/>
  <c r="AF94"/>
  <c r="AF31"/>
  <c r="AF77"/>
  <c r="AF63"/>
  <c r="AF25"/>
  <c r="AF91"/>
  <c r="AF35"/>
  <c r="AF13"/>
  <c r="AF55"/>
  <c r="AF27"/>
  <c r="AF19"/>
  <c r="AF36"/>
  <c r="AF14"/>
  <c r="AF33"/>
  <c r="AF40"/>
  <c r="AF44"/>
  <c r="AF84"/>
  <c r="AJ9" i="17"/>
  <c r="AF90" i="8"/>
  <c r="AF21"/>
  <c r="AF49"/>
  <c r="AF76"/>
  <c r="AF87"/>
  <c r="AF95"/>
  <c r="AF10"/>
  <c r="AF26"/>
  <c r="AF50"/>
  <c r="AF79"/>
  <c r="AF28"/>
  <c r="AF32"/>
  <c r="AF80"/>
  <c r="AF73"/>
  <c r="AF34"/>
  <c r="AF98"/>
  <c r="AF43"/>
  <c r="AF69"/>
  <c r="AF100"/>
  <c r="AF99"/>
  <c r="AF86"/>
  <c r="AF83"/>
  <c r="AF20"/>
  <c r="AF15"/>
  <c r="AG9"/>
  <c r="AF85"/>
  <c r="AF18"/>
  <c r="AF64"/>
  <c r="AF82"/>
  <c r="AF103"/>
  <c r="AF72"/>
  <c r="AF68"/>
  <c r="AF67"/>
  <c r="AF70"/>
  <c r="AF96"/>
  <c r="AF47"/>
  <c r="AF41"/>
  <c r="AF88"/>
  <c r="AF89"/>
  <c r="AF66"/>
  <c r="AF16"/>
  <c r="AF48"/>
  <c r="AF52"/>
  <c r="AF78"/>
  <c r="AF17"/>
  <c r="AF61"/>
  <c r="AF30"/>
  <c r="AJ4" i="12"/>
  <c r="AK9" i="17" l="1"/>
  <c r="AG56" i="8"/>
  <c r="AG84"/>
  <c r="AG95"/>
  <c r="AG19"/>
  <c r="AG46"/>
  <c r="AG53"/>
  <c r="AG91"/>
  <c r="AG103"/>
  <c r="AG100"/>
  <c r="AG23"/>
  <c r="AG25"/>
  <c r="AG92"/>
  <c r="AG102"/>
  <c r="AG51"/>
  <c r="AG66"/>
  <c r="AG24"/>
  <c r="AG42"/>
  <c r="AG34"/>
  <c r="AG44"/>
  <c r="AG65"/>
  <c r="AG47"/>
  <c r="AG22"/>
  <c r="AG67"/>
  <c r="AG82"/>
  <c r="AG87"/>
  <c r="AG76"/>
  <c r="AG74"/>
  <c r="AG18"/>
  <c r="AG15"/>
  <c r="AG75"/>
  <c r="AG28"/>
  <c r="AG41"/>
  <c r="AG69"/>
  <c r="AG38"/>
  <c r="AG12"/>
  <c r="AG36"/>
  <c r="AG16"/>
  <c r="AG11"/>
  <c r="AG80"/>
  <c r="AG52"/>
  <c r="AG81"/>
  <c r="AG83"/>
  <c r="AG99"/>
  <c r="AG89"/>
  <c r="AG30"/>
  <c r="AG104"/>
  <c r="AG14"/>
  <c r="AG73"/>
  <c r="AG60"/>
  <c r="AG70"/>
  <c r="AG43"/>
  <c r="AG35"/>
  <c r="AG90"/>
  <c r="AG21"/>
  <c r="AG10"/>
  <c r="AG68"/>
  <c r="AG17"/>
  <c r="AG48"/>
  <c r="AG88"/>
  <c r="AG26"/>
  <c r="AG85"/>
  <c r="AG97"/>
  <c r="AG54"/>
  <c r="AG64"/>
  <c r="AG27"/>
  <c r="AG29"/>
  <c r="AG37"/>
  <c r="AG55"/>
  <c r="AG50"/>
  <c r="AG49"/>
  <c r="AG61"/>
  <c r="AG93"/>
  <c r="AG98"/>
  <c r="AH9"/>
  <c r="AG77"/>
  <c r="AG71"/>
  <c r="AG33"/>
  <c r="AG39"/>
  <c r="AG45"/>
  <c r="AG63"/>
  <c r="AG78"/>
  <c r="AG31"/>
  <c r="AG59"/>
  <c r="AG58"/>
  <c r="AG32"/>
  <c r="AG96"/>
  <c r="AG79"/>
  <c r="AG62"/>
  <c r="AK4" i="12"/>
  <c r="AG20" i="8"/>
  <c r="AG94"/>
  <c r="AG13"/>
  <c r="AG40"/>
  <c r="AG72"/>
  <c r="AG86"/>
  <c r="AG101"/>
  <c r="AG57"/>
  <c r="AH56" l="1"/>
  <c r="AH61"/>
  <c r="AH62"/>
  <c r="AH11"/>
  <c r="AH48"/>
  <c r="AH22"/>
  <c r="AH68"/>
  <c r="AH37"/>
  <c r="AH84"/>
  <c r="AH93"/>
  <c r="AH59"/>
  <c r="AH96"/>
  <c r="AH28"/>
  <c r="AH79"/>
  <c r="AH89"/>
  <c r="AH64"/>
  <c r="AH63"/>
  <c r="AH78"/>
  <c r="AH81"/>
  <c r="AH44"/>
  <c r="AH101"/>
  <c r="AH90"/>
  <c r="AH83"/>
  <c r="AH51"/>
  <c r="AH76"/>
  <c r="AH103"/>
  <c r="AH69"/>
  <c r="AH102"/>
  <c r="AH72"/>
  <c r="AH50"/>
  <c r="AH17"/>
  <c r="AH20"/>
  <c r="AH53"/>
  <c r="AH23"/>
  <c r="AH99"/>
  <c r="AH74"/>
  <c r="AH52"/>
  <c r="AH10"/>
  <c r="AH70"/>
  <c r="AH65"/>
  <c r="AH75"/>
  <c r="AH88"/>
  <c r="AH67"/>
  <c r="AH49"/>
  <c r="AH94"/>
  <c r="AH15"/>
  <c r="AH13"/>
  <c r="AH97"/>
  <c r="AH19"/>
  <c r="AH43"/>
  <c r="AH30"/>
  <c r="AH27"/>
  <c r="AH16"/>
  <c r="AH82"/>
  <c r="AH24"/>
  <c r="AH47"/>
  <c r="AH35"/>
  <c r="AH100"/>
  <c r="AH21"/>
  <c r="AL9" i="17"/>
  <c r="AH32" i="8"/>
  <c r="AH55"/>
  <c r="AH95"/>
  <c r="AH33"/>
  <c r="AH73"/>
  <c r="AL4" i="12"/>
  <c r="AH31" i="8"/>
  <c r="AH41"/>
  <c r="AH71"/>
  <c r="AH60"/>
  <c r="AH42"/>
  <c r="AH36"/>
  <c r="AH104"/>
  <c r="AH34"/>
  <c r="AH18"/>
  <c r="AH77"/>
  <c r="AH80"/>
  <c r="AH54"/>
  <c r="AH40"/>
  <c r="AH45"/>
  <c r="AH39"/>
  <c r="AH86"/>
  <c r="AH46"/>
  <c r="AH14"/>
  <c r="AH85"/>
  <c r="AH57"/>
  <c r="AH92"/>
  <c r="AH91"/>
  <c r="AH26"/>
  <c r="AH29"/>
  <c r="AH12"/>
  <c r="AH58"/>
  <c r="AH38"/>
  <c r="AH98"/>
  <c r="AH87"/>
  <c r="AH25"/>
  <c r="AH66"/>
</calcChain>
</file>

<file path=xl/sharedStrings.xml><?xml version="1.0" encoding="utf-8"?>
<sst xmlns="http://schemas.openxmlformats.org/spreadsheetml/2006/main" count="4719" uniqueCount="506">
  <si>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</si>
  <si>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</si>
  <si>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</si>
  <si>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</si>
  <si>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</si>
  <si>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</si>
  <si>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</si>
  <si>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</si>
  <si>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</si>
  <si>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</si>
  <si>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</si>
  <si>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</si>
  <si>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</si>
  <si>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</si>
  <si>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</si>
  <si>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</si>
  <si>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</si>
  <si>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</si>
  <si>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</si>
  <si>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</si>
  <si>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</si>
  <si>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</si>
  <si>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</si>
  <si>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</si>
  <si>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</si>
  <si>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</si>
  <si>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</si>
  <si>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</si>
  <si>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</si>
  <si>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</si>
  <si>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</si>
  <si>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</si>
  <si>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</si>
  <si>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</si>
  <si>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</si>
  <si>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</si>
  <si>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</si>
  <si>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</si>
  <si>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</si>
  <si>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</si>
  <si>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</si>
  <si>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</si>
  <si>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</si>
  <si>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</si>
  <si>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</si>
  <si>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</si>
  <si>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</si>
  <si>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</si>
  <si>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</si>
  <si>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</si>
  <si>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</si>
  <si>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</si>
  <si>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</si>
  <si>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</si>
  <si>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</si>
  <si>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</si>
  <si>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</si>
  <si>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</si>
  <si>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</si>
  <si>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</si>
  <si>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</si>
  <si>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</si>
  <si>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</si>
  <si>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</si>
  <si>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</si>
  <si>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</si>
  <si>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</si>
  <si>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</si>
  <si>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</si>
  <si>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</si>
  <si>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</si>
  <si>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</si>
  <si>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</si>
  <si>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</si>
  <si>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</si>
  <si>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</si>
  <si>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</si>
  <si>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</si>
  <si>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</si>
  <si>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</si>
  <si>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</si>
  <si>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</si>
  <si>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</si>
  <si>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</si>
  <si>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</si>
  <si>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</si>
  <si>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</si>
  <si>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</si>
  <si>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</si>
  <si>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</si>
  <si>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</si>
  <si>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</si>
  <si>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</si>
  <si>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</si>
  <si>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</si>
  <si>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</si>
  <si>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</si>
  <si>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</si>
  <si>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</si>
  <si>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</si>
  <si>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</si>
  <si>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</si>
  <si>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</si>
  <si>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</si>
  <si>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</si>
  <si>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</si>
  <si>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</si>
  <si>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</si>
  <si>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</si>
  <si>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</si>
  <si>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</si>
  <si>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</si>
  <si>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</si>
  <si>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</si>
  <si>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</si>
  <si>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</si>
  <si>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</si>
  <si>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</si>
  <si>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</si>
  <si>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</si>
  <si>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</si>
  <si>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</si>
  <si>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</si>
  <si>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</si>
  <si>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</si>
  <si>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</si>
  <si>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</si>
  <si>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</si>
  <si>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</si>
  <si>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</si>
  <si>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</si>
  <si>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</si>
  <si>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</si>
  <si>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</si>
  <si>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</si>
  <si>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</si>
  <si>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</si>
  <si>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</si>
  <si>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</si>
  <si>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</si>
  <si>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</si>
  <si>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</si>
  <si>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</si>
  <si>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</si>
  <si>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</si>
  <si>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</si>
  <si>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</si>
  <si>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</si>
  <si>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</si>
  <si>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</si>
  <si>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</si>
  <si>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</si>
  <si>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</si>
  <si>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</si>
  <si>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</si>
  <si>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</si>
  <si>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</si>
  <si>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</si>
  <si>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</si>
  <si>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</si>
  <si>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</si>
  <si>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</si>
  <si>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</si>
  <si>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</si>
  <si>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</si>
  <si>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</si>
  <si>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</si>
  <si>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</si>
  <si>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</si>
  <si>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</si>
  <si>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</si>
  <si>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</si>
  <si>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</si>
  <si>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</si>
  <si>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</si>
  <si>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</si>
  <si>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</si>
  <si>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</si>
  <si>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</si>
  <si>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</si>
  <si>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</si>
  <si>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</si>
  <si>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</si>
  <si>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</si>
  <si>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</si>
  <si>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</si>
  <si>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</si>
  <si>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</si>
  <si>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</si>
  <si>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</si>
  <si>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</si>
  <si>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</si>
  <si>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</si>
  <si>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</si>
  <si>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</si>
  <si>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</si>
  <si>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</si>
  <si>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</si>
  <si>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</si>
  <si>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</si>
  <si>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</si>
  <si>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</si>
  <si>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</si>
  <si>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</si>
  <si>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</si>
  <si>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</si>
  <si>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</si>
  <si>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</si>
  <si>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</si>
  <si>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</si>
  <si>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</si>
  <si>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</si>
  <si>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</si>
  <si>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</si>
  <si>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</si>
  <si>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</si>
  <si>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</si>
  <si>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</si>
  <si>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</si>
  <si>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</si>
  <si>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</si>
  <si>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</si>
  <si>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</si>
  <si>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</si>
  <si>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</si>
  <si>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</si>
  <si>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</si>
  <si>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</si>
  <si>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</si>
  <si>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</si>
  <si>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</si>
  <si>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</si>
  <si>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</si>
  <si>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</si>
  <si>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</si>
  <si>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</si>
  <si>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</si>
  <si>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</si>
  <si>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</si>
  <si>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</si>
  <si>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</si>
  <si>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</si>
  <si>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</si>
  <si>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</si>
  <si>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</si>
  <si>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</si>
  <si>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</si>
  <si>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</si>
  <si>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</si>
  <si>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</si>
  <si>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</si>
  <si>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</si>
  <si>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</si>
  <si>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</si>
  <si>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</si>
  <si>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</si>
  <si>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</si>
  <si>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</si>
  <si>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</si>
  <si>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</si>
  <si>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</si>
  <si>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</si>
  <si>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</si>
  <si>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</si>
  <si>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</si>
  <si>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</si>
  <si>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</si>
  <si>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</si>
  <si>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</si>
  <si>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</si>
  <si>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</si>
  <si>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</si>
  <si>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</si>
  <si>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</si>
  <si>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</si>
  <si>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</si>
  <si>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</si>
  <si>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</si>
  <si>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</si>
  <si>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</si>
  <si>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</si>
  <si>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</si>
  <si>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</si>
  <si>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</si>
  <si>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</si>
  <si>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</si>
  <si>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</si>
  <si>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</si>
  <si>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</si>
  <si>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</si>
  <si>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</si>
  <si>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</si>
  <si>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</si>
  <si>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</si>
  <si>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</si>
  <si>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</si>
  <si>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</si>
  <si>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</si>
  <si>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</si>
  <si>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</si>
  <si>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</si>
  <si>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</si>
  <si>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</si>
  <si>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</si>
  <si>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</si>
  <si>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</si>
  <si>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</si>
  <si>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</si>
  <si>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</si>
  <si>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</si>
  <si>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</si>
  <si>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</si>
  <si>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</si>
  <si>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</si>
  <si>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</si>
  <si>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</si>
  <si>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</si>
  <si>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</si>
  <si>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</si>
  <si>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</si>
  <si>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</si>
  <si>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</si>
  <si>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</si>
  <si>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</si>
  <si>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</si>
  <si>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</si>
  <si>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</si>
  <si>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</si>
  <si>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</si>
  <si>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</si>
  <si>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</si>
  <si>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</si>
  <si>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</si>
  <si>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</si>
  <si>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</si>
  <si>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</si>
  <si>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</si>
  <si>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</si>
  <si>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</si>
  <si>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</si>
  <si>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</si>
  <si>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</si>
  <si>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</si>
  <si>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</si>
  <si>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</si>
  <si>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</si>
  <si>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</si>
  <si>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</si>
  <si>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</si>
  <si>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</si>
  <si>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</si>
  <si>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</si>
  <si>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</si>
  <si>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</si>
  <si>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</si>
  <si>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</si>
  <si>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</si>
  <si>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</si>
  <si>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</si>
  <si>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</si>
  <si>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</si>
  <si>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</si>
  <si>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</si>
  <si>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</si>
  <si>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</si>
  <si>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</si>
  <si>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</si>
  <si>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</si>
  <si>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</si>
  <si>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</si>
  <si>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</si>
  <si>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</si>
  <si>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</si>
  <si>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</si>
  <si>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</si>
  <si>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</si>
  <si>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</si>
  <si>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</si>
  <si>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</si>
  <si>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</si>
  <si>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</si>
  <si>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</si>
  <si>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</si>
  <si>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</si>
  <si>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</si>
  <si>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</si>
  <si>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</si>
  <si>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</si>
  <si>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</si>
  <si>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</si>
  <si>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</si>
  <si>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</si>
  <si>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</si>
  <si>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</si>
  <si>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</si>
  <si>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</si>
  <si>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</si>
  <si>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</si>
  <si>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</si>
  <si>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</si>
  <si>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</si>
  <si>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</si>
  <si>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</si>
  <si>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</si>
  <si>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</si>
  <si>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</si>
  <si>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</si>
  <si>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</si>
  <si>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</si>
  <si>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</si>
  <si>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</si>
  <si>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</si>
  <si>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</si>
  <si>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</si>
  <si>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</si>
  <si>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</si>
  <si>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</si>
  <si>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</si>
  <si>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</si>
  <si>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</si>
  <si>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</si>
  <si>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</si>
  <si>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</si>
  <si>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</si>
  <si>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</si>
  <si>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</si>
  <si>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</si>
  <si>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</si>
  <si>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</si>
  <si>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</si>
  <si>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</si>
  <si>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</si>
  <si>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</si>
  <si>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</si>
  <si>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</si>
  <si>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</si>
  <si>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</si>
  <si>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</si>
  <si>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</si>
  <si>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</si>
  <si>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</si>
  <si>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</si>
  <si>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</si>
  <si>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</si>
  <si>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</si>
  <si>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</si>
  <si>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</si>
  <si>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</si>
  <si>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</si>
  <si>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</si>
  <si>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</si>
  <si>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</si>
  <si>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</si>
  <si>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</si>
  <si>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</si>
  <si>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</si>
  <si>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</si>
  <si>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</si>
  <si>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</si>
  <si>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</si>
  <si>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</si>
  <si>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</si>
  <si>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</si>
  <si>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</si>
  <si>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</si>
  <si>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</si>
  <si>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</si>
  <si>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</si>
  <si>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</si>
  <si>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</si>
  <si>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</si>
  <si>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</si>
  <si>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</si>
  <si>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</si>
  <si>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</si>
  <si>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</si>
  <si>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</si>
  <si>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 xml:space="preserve"> Informacja uzupełniająca do sprawozdania finansowego </t>
  </si>
  <si>
    <t>Dane o wysokości środków na świadczenia pracownicze zabezpieczone w wieloletniej prognozie finansowej jednostki samorządu terytorialnego.</t>
  </si>
  <si>
    <t>Wydatki bieżące na świadczenia pracownicze</t>
  </si>
  <si>
    <t>Wyszczególnienie/lata</t>
  </si>
  <si>
    <t>WPF??/2013</t>
  </si>
  <si>
    <t>WIDUCHOWA</t>
  </si>
  <si>
    <t>[1.1] + [4.1] + [4.2] - (  [2.1] - [2.1.2]  )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</si>
  <si>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</si>
  <si>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( [1.1] -  ( [2.1]  - [2.1.2] ) + [1.2.1] ) / [1]</t>
  </si>
  <si>
    <t>[9.6] - [9.7]</t>
  </si>
  <si>
    <t>([2.1.1] + [2.1.3.1] + [5.1] - [5.1.1] ) / [1]</t>
  </si>
  <si>
    <t>([2.1.1]+[2.1.3.1] + [5.1]+[9.5]-[5.1.1] )/[1]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</si>
  <si>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</si>
  <si>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</si>
  <si>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[1.1] + [1.2]</t>
  </si>
  <si>
    <t>[1] -[2]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</si>
  <si>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</si>
  <si>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- [2.1]</t>
  </si>
  <si>
    <t>[6] / [1]</t>
  </si>
  <si>
    <t>[2.1] + [2.2]</t>
  </si>
  <si>
    <t>[4.1] + [4.2] + [4.3] + [4.4]</t>
  </si>
  <si>
    <t>([6] - [6.1]) / [1]</t>
  </si>
  <si>
    <t>[9.6] - [9.7.1]</t>
  </si>
  <si>
    <t>[5.1] + [5.2]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</si>
  <si>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</si>
  <si>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</si>
  <si>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[11.3.1] + [11.3.2]</t>
  </si>
  <si>
    <t>Wieloletnia prognoza finansowa Gminy Widuchowa na lata 2013 - 2025</t>
  </si>
  <si>
    <t xml:space="preserve">Załącznik Nr 1
 do Zarządzenia Nr 378/2013 
 Wójta Gminy Widuchowa 
 z dnia 12 września 2013 r.
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</si>
</sst>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%"/>
    <numFmt numFmtId="166" formatCode="0.00%;[Red]\-0.00%"/>
  </numFmts>
  <fonts count="8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rgb="FF000000"/>
      <name val="Czcionka tekstu podstawowego"/>
    </font>
    <font>
      <sz val="8"/>
      <name val="Arial CE"/>
      <family val="2"/>
      <charset val="238"/>
    </font>
    <font>
      <b/>
      <sz val="12"/>
      <name val="Arial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7">
    <xf numFmtId="0" fontId="0" fillId="0" borderId="0"/>
    <xf numFmtId="0" fontId="1" fillId="2" borderId="0" applyNumberFormat="0" applyBorder="0" applyAlignment="0" applyProtection="0"/>
    <xf numFmtId="0" fontId="43" fillId="26" borderId="0" applyNumberFormat="0" applyBorder="0" applyAlignment="0" applyProtection="0"/>
    <xf numFmtId="0" fontId="1" fillId="3" borderId="0" applyNumberFormat="0" applyBorder="0" applyAlignment="0" applyProtection="0"/>
    <xf numFmtId="0" fontId="43" fillId="27" borderId="0" applyNumberFormat="0" applyBorder="0" applyAlignment="0" applyProtection="0"/>
    <xf numFmtId="0" fontId="1" fillId="4" borderId="0" applyNumberFormat="0" applyBorder="0" applyAlignment="0" applyProtection="0"/>
    <xf numFmtId="0" fontId="43" fillId="28" borderId="0" applyNumberFormat="0" applyBorder="0" applyAlignment="0" applyProtection="0"/>
    <xf numFmtId="0" fontId="1" fillId="5" borderId="0" applyNumberFormat="0" applyBorder="0" applyAlignment="0" applyProtection="0"/>
    <xf numFmtId="0" fontId="43" fillId="29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1" fillId="7" borderId="0" applyNumberFormat="0" applyBorder="0" applyAlignment="0" applyProtection="0"/>
    <xf numFmtId="0" fontId="43" fillId="31" borderId="0" applyNumberFormat="0" applyBorder="0" applyAlignment="0" applyProtection="0"/>
    <xf numFmtId="0" fontId="1" fillId="8" borderId="0" applyNumberFormat="0" applyBorder="0" applyAlignment="0" applyProtection="0"/>
    <xf numFmtId="0" fontId="43" fillId="32" borderId="0" applyNumberFormat="0" applyBorder="0" applyAlignment="0" applyProtection="0"/>
    <xf numFmtId="0" fontId="1" fillId="9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5" borderId="0" applyNumberFormat="0" applyBorder="0" applyAlignment="0" applyProtection="0"/>
    <xf numFmtId="0" fontId="43" fillId="35" borderId="0" applyNumberFormat="0" applyBorder="0" applyAlignment="0" applyProtection="0"/>
    <xf numFmtId="0" fontId="1" fillId="8" borderId="0" applyNumberFormat="0" applyBorder="0" applyAlignment="0" applyProtection="0"/>
    <xf numFmtId="0" fontId="43" fillId="36" borderId="0" applyNumberFormat="0" applyBorder="0" applyAlignment="0" applyProtection="0"/>
    <xf numFmtId="0" fontId="1" fillId="11" borderId="0" applyNumberFormat="0" applyBorder="0" applyAlignment="0" applyProtection="0"/>
    <xf numFmtId="0" fontId="43" fillId="37" borderId="0" applyNumberFormat="0" applyBorder="0" applyAlignment="0" applyProtection="0"/>
    <xf numFmtId="0" fontId="12" fillId="12" borderId="0" applyNumberFormat="0" applyBorder="0" applyAlignment="0" applyProtection="0"/>
    <xf numFmtId="0" fontId="44" fillId="38" borderId="0" applyNumberFormat="0" applyBorder="0" applyAlignment="0" applyProtection="0"/>
    <xf numFmtId="0" fontId="12" fillId="9" borderId="0" applyNumberFormat="0" applyBorder="0" applyAlignment="0" applyProtection="0"/>
    <xf numFmtId="0" fontId="44" fillId="39" borderId="0" applyNumberFormat="0" applyBorder="0" applyAlignment="0" applyProtection="0"/>
    <xf numFmtId="0" fontId="12" fillId="10" borderId="0" applyNumberFormat="0" applyBorder="0" applyAlignment="0" applyProtection="0"/>
    <xf numFmtId="0" fontId="44" fillId="40" borderId="0" applyNumberFormat="0" applyBorder="0" applyAlignment="0" applyProtection="0"/>
    <xf numFmtId="0" fontId="12" fillId="13" borderId="0" applyNumberFormat="0" applyBorder="0" applyAlignment="0" applyProtection="0"/>
    <xf numFmtId="0" fontId="44" fillId="41" borderId="0" applyNumberFormat="0" applyBorder="0" applyAlignment="0" applyProtection="0"/>
    <xf numFmtId="0" fontId="12" fillId="14" borderId="0" applyNumberFormat="0" applyBorder="0" applyAlignment="0" applyProtection="0"/>
    <xf numFmtId="0" fontId="44" fillId="42" borderId="0" applyNumberFormat="0" applyBorder="0" applyAlignment="0" applyProtection="0"/>
    <xf numFmtId="0" fontId="12" fillId="15" borderId="0" applyNumberFormat="0" applyBorder="0" applyAlignment="0" applyProtection="0"/>
    <xf numFmtId="0" fontId="44" fillId="43" borderId="0" applyNumberFormat="0" applyBorder="0" applyAlignment="0" applyProtection="0"/>
    <xf numFmtId="0" fontId="12" fillId="16" borderId="0" applyNumberFormat="0" applyBorder="0" applyAlignment="0" applyProtection="0"/>
    <xf numFmtId="0" fontId="44" fillId="44" borderId="0" applyNumberFormat="0" applyBorder="0" applyAlignment="0" applyProtection="0"/>
    <xf numFmtId="0" fontId="12" fillId="17" borderId="0" applyNumberFormat="0" applyBorder="0" applyAlignment="0" applyProtection="0"/>
    <xf numFmtId="0" fontId="44" fillId="45" borderId="0" applyNumberFormat="0" applyBorder="0" applyAlignment="0" applyProtection="0"/>
    <xf numFmtId="0" fontId="12" fillId="18" borderId="0" applyNumberFormat="0" applyBorder="0" applyAlignment="0" applyProtection="0"/>
    <xf numFmtId="0" fontId="44" fillId="46" borderId="0" applyNumberFormat="0" applyBorder="0" applyAlignment="0" applyProtection="0"/>
    <xf numFmtId="0" fontId="12" fillId="13" borderId="0" applyNumberFormat="0" applyBorder="0" applyAlignment="0" applyProtection="0"/>
    <xf numFmtId="0" fontId="44" fillId="47" borderId="0" applyNumberFormat="0" applyBorder="0" applyAlignment="0" applyProtection="0"/>
    <xf numFmtId="0" fontId="12" fillId="14" borderId="0" applyNumberFormat="0" applyBorder="0" applyAlignment="0" applyProtection="0"/>
    <xf numFmtId="0" fontId="44" fillId="48" borderId="0" applyNumberFormat="0" applyBorder="0" applyAlignment="0" applyProtection="0"/>
    <xf numFmtId="0" fontId="12" fillId="19" borderId="0" applyNumberFormat="0" applyBorder="0" applyAlignment="0" applyProtection="0"/>
    <xf numFmtId="0" fontId="44" fillId="49" borderId="0" applyNumberFormat="0" applyBorder="0" applyAlignment="0" applyProtection="0"/>
    <xf numFmtId="0" fontId="13" fillId="7" borderId="1" applyNumberFormat="0" applyAlignment="0" applyProtection="0"/>
    <xf numFmtId="0" fontId="45" fillId="50" borderId="42" applyNumberFormat="0" applyAlignment="0" applyProtection="0"/>
    <xf numFmtId="0" fontId="14" fillId="20" borderId="2" applyNumberFormat="0" applyAlignment="0" applyProtection="0"/>
    <xf numFmtId="0" fontId="46" fillId="51" borderId="43" applyNumberFormat="0" applyAlignment="0" applyProtection="0"/>
    <xf numFmtId="0" fontId="15" fillId="4" borderId="0" applyNumberFormat="0" applyBorder="0" applyAlignment="0" applyProtection="0"/>
    <xf numFmtId="0" fontId="47" fillId="52" borderId="0" applyNumberFormat="0" applyBorder="0" applyAlignment="0" applyProtection="0"/>
    <xf numFmtId="0" fontId="16" fillId="0" borderId="3" applyNumberFormat="0" applyFill="0" applyAlignment="0" applyProtection="0"/>
    <xf numFmtId="0" fontId="48" fillId="0" borderId="44" applyNumberFormat="0" applyFill="0" applyAlignment="0" applyProtection="0"/>
    <xf numFmtId="0" fontId="17" fillId="21" borderId="4" applyNumberFormat="0" applyAlignment="0" applyProtection="0"/>
    <xf numFmtId="0" fontId="49" fillId="53" borderId="45" applyNumberFormat="0" applyAlignment="0" applyProtection="0"/>
    <xf numFmtId="0" fontId="18" fillId="0" borderId="5" applyNumberFormat="0" applyFill="0" applyAlignment="0" applyProtection="0"/>
    <xf numFmtId="0" fontId="50" fillId="0" borderId="46" applyNumberFormat="0" applyFill="0" applyAlignment="0" applyProtection="0"/>
    <xf numFmtId="0" fontId="19" fillId="0" borderId="6" applyNumberFormat="0" applyFill="0" applyAlignment="0" applyProtection="0"/>
    <xf numFmtId="0" fontId="51" fillId="0" borderId="47" applyNumberFormat="0" applyFill="0" applyAlignment="0" applyProtection="0"/>
    <xf numFmtId="0" fontId="20" fillId="0" borderId="7" applyNumberFormat="0" applyFill="0" applyAlignment="0" applyProtection="0"/>
    <xf numFmtId="0" fontId="52" fillId="0" borderId="48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3" fillId="54" borderId="0" applyNumberFormat="0" applyBorder="0" applyAlignment="0" applyProtection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43" fillId="0" borderId="0"/>
    <xf numFmtId="0" fontId="22" fillId="20" borderId="1" applyNumberFormat="0" applyAlignment="0" applyProtection="0"/>
    <xf numFmtId="0" fontId="54" fillId="51" borderId="42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8" applyNumberFormat="0" applyFill="0" applyAlignment="0" applyProtection="0"/>
    <xf numFmtId="0" fontId="56" fillId="0" borderId="49" applyNumberFormat="0" applyFill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43" fillId="55" borderId="50" applyNumberFormat="0" applyFont="0" applyAlignment="0" applyProtection="0"/>
    <xf numFmtId="0" fontId="27" fillId="3" borderId="0" applyNumberFormat="0" applyBorder="0" applyAlignment="0" applyProtection="0"/>
    <xf numFmtId="0" fontId="60" fillId="56" borderId="0" applyNumberFormat="0" applyBorder="0" applyAlignment="0" applyProtection="0"/>
    <xf numFmtId="0" fontId="5" fillId="0" borderId="0"/>
  </cellStyleXfs>
  <cellXfs count="437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61" fillId="0" borderId="0" xfId="0" applyFont="1"/>
    <xf numFmtId="0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0" xfId="0" applyFont="1" applyFill="1"/>
    <xf numFmtId="0" fontId="63" fillId="0" borderId="0" xfId="0" applyFont="1" applyAlignment="1">
      <alignment horizontal="right"/>
    </xf>
    <xf numFmtId="0" fontId="4" fillId="0" borderId="11" xfId="80" applyFont="1" applyFill="1" applyBorder="1" applyAlignment="1">
      <alignment vertical="center" wrapText="1"/>
    </xf>
    <xf numFmtId="0" fontId="3" fillId="0" borderId="12" xfId="80" applyFont="1" applyFill="1" applyBorder="1" applyAlignment="1">
      <alignment horizontal="left" vertical="center" wrapText="1" indent="1"/>
    </xf>
    <xf numFmtId="0" fontId="3" fillId="0" borderId="12" xfId="80" applyFont="1" applyFill="1" applyBorder="1" applyAlignment="1">
      <alignment horizontal="left" vertical="center" wrapText="1" indent="2"/>
    </xf>
    <xf numFmtId="0" fontId="3" fillId="0" borderId="12" xfId="80" applyNumberFormat="1" applyFont="1" applyFill="1" applyBorder="1" applyAlignment="1">
      <alignment horizontal="left" vertical="center" wrapText="1" indent="2"/>
    </xf>
    <xf numFmtId="0" fontId="3" fillId="0" borderId="12" xfId="80" applyFont="1" applyFill="1" applyBorder="1" applyAlignment="1">
      <alignment horizontal="left" vertical="center" wrapText="1" indent="3"/>
    </xf>
    <xf numFmtId="0" fontId="3" fillId="0" borderId="13" xfId="80" applyFont="1" applyFill="1" applyBorder="1" applyAlignment="1">
      <alignment horizontal="left" vertical="center" wrapText="1" indent="1"/>
    </xf>
    <xf numFmtId="0" fontId="3" fillId="0" borderId="13" xfId="80" applyFont="1" applyFill="1" applyBorder="1" applyAlignment="1">
      <alignment horizontal="left" vertical="center" wrapText="1" indent="2"/>
    </xf>
    <xf numFmtId="1" fontId="64" fillId="0" borderId="0" xfId="0" applyNumberFormat="1" applyFont="1" applyAlignment="1">
      <alignment horizontal="center" vertical="center"/>
    </xf>
    <xf numFmtId="164" fontId="64" fillId="0" borderId="0" xfId="0" applyNumberFormat="1" applyFont="1" applyAlignment="1">
      <alignment vertical="center"/>
    </xf>
    <xf numFmtId="2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4" fontId="6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indent="1"/>
    </xf>
    <xf numFmtId="164" fontId="8" fillId="0" borderId="0" xfId="0" applyNumberFormat="1" applyFont="1"/>
    <xf numFmtId="165" fontId="8" fillId="57" borderId="0" xfId="88" applyNumberFormat="1" applyFont="1" applyFill="1" applyAlignment="1">
      <alignment vertical="center"/>
    </xf>
    <xf numFmtId="165" fontId="8" fillId="58" borderId="0" xfId="88" applyNumberFormat="1" applyFont="1" applyFill="1" applyAlignment="1">
      <alignment vertical="center"/>
    </xf>
    <xf numFmtId="165" fontId="8" fillId="59" borderId="0" xfId="88" applyNumberFormat="1" applyFont="1" applyFill="1" applyAlignment="1">
      <alignment vertical="center"/>
    </xf>
    <xf numFmtId="165" fontId="9" fillId="59" borderId="0" xfId="86" applyNumberFormat="1" applyFont="1" applyFill="1" applyAlignment="1">
      <alignment vertical="center"/>
    </xf>
    <xf numFmtId="165" fontId="9" fillId="58" borderId="0" xfId="86" applyNumberFormat="1" applyFont="1" applyFill="1" applyAlignment="1">
      <alignment vertical="center"/>
    </xf>
    <xf numFmtId="165" fontId="9" fillId="57" borderId="0" xfId="86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" fillId="0" borderId="11" xfId="80" applyFont="1" applyFill="1" applyBorder="1" applyAlignment="1">
      <alignment horizontal="left" vertical="center" wrapText="1" indent="1"/>
    </xf>
    <xf numFmtId="0" fontId="4" fillId="0" borderId="14" xfId="80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/>
    <xf numFmtId="0" fontId="4" fillId="0" borderId="0" xfId="80" applyFont="1" applyFill="1" applyBorder="1" applyAlignment="1">
      <alignment vertical="center" wrapText="1"/>
    </xf>
    <xf numFmtId="49" fontId="31" fillId="60" borderId="15" xfId="80" applyNumberFormat="1" applyFont="1" applyFill="1" applyBorder="1" applyAlignment="1">
      <alignment horizontal="center" vertical="center"/>
    </xf>
    <xf numFmtId="1" fontId="31" fillId="60" borderId="16" xfId="80" applyNumberFormat="1" applyFont="1" applyFill="1" applyBorder="1" applyAlignment="1">
      <alignment horizontal="center" vertical="center"/>
    </xf>
    <xf numFmtId="1" fontId="31" fillId="60" borderId="17" xfId="80" applyNumberFormat="1" applyFont="1" applyFill="1" applyBorder="1" applyAlignment="1">
      <alignment horizontal="center" vertical="center"/>
    </xf>
    <xf numFmtId="0" fontId="0" fillId="0" borderId="0" xfId="0" applyFont="1"/>
    <xf numFmtId="0" fontId="55" fillId="0" borderId="0" xfId="0" applyFont="1"/>
    <xf numFmtId="1" fontId="31" fillId="60" borderId="18" xfId="80" applyNumberFormat="1" applyFont="1" applyFill="1" applyBorder="1" applyAlignment="1">
      <alignment horizontal="center" vertical="center"/>
    </xf>
    <xf numFmtId="49" fontId="31" fillId="60" borderId="16" xfId="80" applyNumberFormat="1" applyFont="1" applyFill="1" applyBorder="1" applyAlignment="1">
      <alignment horizontal="center" vertical="center" wrapText="1"/>
    </xf>
    <xf numFmtId="49" fontId="31" fillId="60" borderId="17" xfId="80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7" fillId="0" borderId="20" xfId="0" applyFont="1" applyBorder="1" applyAlignment="1">
      <alignment horizontal="left" vertical="center"/>
    </xf>
    <xf numFmtId="164" fontId="4" fillId="61" borderId="21" xfId="80" applyNumberFormat="1" applyFont="1" applyFill="1" applyBorder="1" applyAlignment="1">
      <alignment vertical="center" shrinkToFit="1"/>
    </xf>
    <xf numFmtId="164" fontId="4" fillId="61" borderId="22" xfId="80" applyNumberFormat="1" applyFont="1" applyFill="1" applyBorder="1" applyAlignment="1">
      <alignment vertical="center" shrinkToFit="1"/>
    </xf>
    <xf numFmtId="164" fontId="4" fillId="0" borderId="23" xfId="80" applyNumberFormat="1" applyFont="1" applyFill="1" applyBorder="1" applyAlignment="1">
      <alignment vertical="center" shrinkToFit="1"/>
    </xf>
    <xf numFmtId="164" fontId="4" fillId="0" borderId="21" xfId="80" applyNumberFormat="1" applyFont="1" applyFill="1" applyBorder="1" applyAlignment="1">
      <alignment vertical="center" shrinkToFit="1"/>
    </xf>
    <xf numFmtId="164" fontId="4" fillId="0" borderId="22" xfId="80" applyNumberFormat="1" applyFont="1" applyFill="1" applyBorder="1" applyAlignment="1">
      <alignment vertical="center" shrinkToFit="1"/>
    </xf>
    <xf numFmtId="164" fontId="3" fillId="61" borderId="21" xfId="80" applyNumberFormat="1" applyFont="1" applyFill="1" applyBorder="1" applyAlignment="1">
      <alignment vertical="center" shrinkToFit="1"/>
    </xf>
    <xf numFmtId="164" fontId="3" fillId="61" borderId="22" xfId="80" applyNumberFormat="1" applyFont="1" applyFill="1" applyBorder="1" applyAlignment="1">
      <alignment vertical="center" shrinkToFit="1"/>
    </xf>
    <xf numFmtId="164" fontId="3" fillId="0" borderId="23" xfId="80" applyNumberFormat="1" applyFont="1" applyFill="1" applyBorder="1" applyAlignment="1">
      <alignment vertical="center" shrinkToFit="1"/>
    </xf>
    <xf numFmtId="164" fontId="3" fillId="0" borderId="21" xfId="80" applyNumberFormat="1" applyFont="1" applyFill="1" applyBorder="1" applyAlignment="1">
      <alignment vertical="center" shrinkToFit="1"/>
    </xf>
    <xf numFmtId="164" fontId="3" fillId="0" borderId="22" xfId="80" applyNumberFormat="1" applyFont="1" applyFill="1" applyBorder="1" applyAlignment="1">
      <alignment vertical="center" shrinkToFit="1"/>
    </xf>
    <xf numFmtId="164" fontId="3" fillId="61" borderId="21" xfId="80" applyNumberFormat="1" applyFont="1" applyFill="1" applyBorder="1" applyAlignment="1">
      <alignment horizontal="center" vertical="center" shrinkToFit="1"/>
    </xf>
    <xf numFmtId="164" fontId="3" fillId="61" borderId="22" xfId="80" applyNumberFormat="1" applyFont="1" applyFill="1" applyBorder="1" applyAlignment="1">
      <alignment horizontal="center" vertical="center" shrinkToFit="1"/>
    </xf>
    <xf numFmtId="49" fontId="31" fillId="25" borderId="0" xfId="0" applyNumberFormat="1" applyFont="1" applyFill="1" applyAlignment="1" applyProtection="1">
      <alignment vertical="center"/>
      <protection locked="0"/>
    </xf>
    <xf numFmtId="0" fontId="31" fillId="25" borderId="0" xfId="0" applyFont="1" applyFill="1" applyBorder="1" applyAlignment="1" applyProtection="1">
      <alignment vertical="center"/>
      <protection locked="0"/>
    </xf>
    <xf numFmtId="166" fontId="3" fillId="61" borderId="21" xfId="80" applyNumberFormat="1" applyFont="1" applyFill="1" applyBorder="1" applyAlignment="1">
      <alignment vertical="center" shrinkToFit="1"/>
    </xf>
    <xf numFmtId="166" fontId="3" fillId="61" borderId="22" xfId="80" applyNumberFormat="1" applyFont="1" applyFill="1" applyBorder="1" applyAlignment="1">
      <alignment vertical="center" shrinkToFit="1"/>
    </xf>
    <xf numFmtId="166" fontId="3" fillId="0" borderId="23" xfId="80" applyNumberFormat="1" applyFont="1" applyFill="1" applyBorder="1" applyAlignment="1">
      <alignment vertical="center" shrinkToFit="1"/>
    </xf>
    <xf numFmtId="166" fontId="3" fillId="0" borderId="21" xfId="80" applyNumberFormat="1" applyFont="1" applyFill="1" applyBorder="1" applyAlignment="1">
      <alignment vertical="center" shrinkToFit="1"/>
    </xf>
    <xf numFmtId="166" fontId="3" fillId="0" borderId="22" xfId="80" applyNumberFormat="1" applyFont="1" applyFill="1" applyBorder="1" applyAlignment="1">
      <alignment vertical="center" shrinkToFit="1"/>
    </xf>
    <xf numFmtId="164" fontId="4" fillId="61" borderId="21" xfId="80" applyNumberFormat="1" applyFont="1" applyFill="1" applyBorder="1" applyAlignment="1">
      <alignment horizontal="center" vertical="center" shrinkToFit="1"/>
    </xf>
    <xf numFmtId="164" fontId="4" fillId="61" borderId="22" xfId="80" applyNumberFormat="1" applyFont="1" applyFill="1" applyBorder="1" applyAlignment="1">
      <alignment horizontal="center" vertical="center" shrinkToFit="1"/>
    </xf>
    <xf numFmtId="164" fontId="4" fillId="0" borderId="23" xfId="80" applyNumberFormat="1" applyFont="1" applyFill="1" applyBorder="1" applyAlignment="1">
      <alignment horizontal="center" vertical="center" shrinkToFit="1"/>
    </xf>
    <xf numFmtId="164" fontId="4" fillId="0" borderId="21" xfId="80" applyNumberFormat="1" applyFont="1" applyFill="1" applyBorder="1" applyAlignment="1">
      <alignment horizontal="center" vertical="center" shrinkToFit="1"/>
    </xf>
    <xf numFmtId="164" fontId="4" fillId="0" borderId="22" xfId="80" applyNumberFormat="1" applyFont="1" applyFill="1" applyBorder="1" applyAlignment="1">
      <alignment horizontal="center" vertical="center" shrinkToFit="1"/>
    </xf>
    <xf numFmtId="164" fontId="3" fillId="61" borderId="24" xfId="80" applyNumberFormat="1" applyFont="1" applyFill="1" applyBorder="1" applyAlignment="1">
      <alignment vertical="center" shrinkToFit="1"/>
    </xf>
    <xf numFmtId="164" fontId="3" fillId="61" borderId="25" xfId="80" applyNumberFormat="1" applyFont="1" applyFill="1" applyBorder="1" applyAlignment="1">
      <alignment vertical="center" shrinkToFit="1"/>
    </xf>
    <xf numFmtId="164" fontId="3" fillId="0" borderId="26" xfId="80" applyNumberFormat="1" applyFont="1" applyFill="1" applyBorder="1" applyAlignment="1">
      <alignment vertical="center" shrinkToFit="1"/>
    </xf>
    <xf numFmtId="164" fontId="3" fillId="0" borderId="24" xfId="80" applyNumberFormat="1" applyFont="1" applyFill="1" applyBorder="1" applyAlignment="1">
      <alignment vertical="center" shrinkToFit="1"/>
    </xf>
    <xf numFmtId="164" fontId="3" fillId="0" borderId="25" xfId="80" applyNumberFormat="1" applyFont="1" applyFill="1" applyBorder="1" applyAlignment="1">
      <alignment vertical="center" shrinkToFit="1"/>
    </xf>
    <xf numFmtId="0" fontId="11" fillId="0" borderId="0" xfId="0" applyFont="1" applyFill="1"/>
    <xf numFmtId="0" fontId="10" fillId="0" borderId="0" xfId="0" applyFont="1" applyFill="1"/>
    <xf numFmtId="165" fontId="9" fillId="0" borderId="0" xfId="86" applyNumberFormat="1" applyFont="1" applyFill="1" applyAlignment="1">
      <alignment vertical="center"/>
    </xf>
    <xf numFmtId="165" fontId="8" fillId="0" borderId="0" xfId="88" applyNumberFormat="1" applyFont="1" applyFill="1" applyAlignment="1">
      <alignment vertical="center"/>
    </xf>
    <xf numFmtId="0" fontId="29" fillId="0" borderId="0" xfId="0" applyFont="1" applyFill="1" applyAlignment="1">
      <alignment horizontal="left" indent="1"/>
    </xf>
    <xf numFmtId="0" fontId="65" fillId="0" borderId="0" xfId="0" applyFont="1" applyBorder="1" applyAlignment="1">
      <alignment horizontal="center" vertical="center"/>
    </xf>
    <xf numFmtId="0" fontId="0" fillId="0" borderId="0" xfId="0"/>
    <xf numFmtId="0" fontId="35" fillId="62" borderId="27" xfId="0" applyFont="1" applyFill="1" applyBorder="1" applyAlignment="1">
      <alignment horizontal="left" vertical="center" wrapText="1"/>
    </xf>
    <xf numFmtId="0" fontId="35" fillId="62" borderId="28" xfId="0" applyFont="1" applyFill="1" applyBorder="1" applyAlignment="1">
      <alignment horizontal="left" vertical="center" wrapText="1"/>
    </xf>
    <xf numFmtId="0" fontId="35" fillId="58" borderId="28" xfId="0" applyFont="1" applyFill="1" applyBorder="1" applyAlignment="1">
      <alignment horizontal="left" vertical="center" wrapText="1"/>
    </xf>
    <xf numFmtId="0" fontId="35" fillId="57" borderId="28" xfId="0" applyFont="1" applyFill="1" applyBorder="1" applyAlignment="1">
      <alignment horizontal="left" vertical="center" wrapText="1"/>
    </xf>
    <xf numFmtId="0" fontId="35" fillId="57" borderId="29" xfId="0" applyFont="1" applyFill="1" applyBorder="1" applyAlignment="1">
      <alignment horizontal="left" vertical="center" wrapText="1"/>
    </xf>
    <xf numFmtId="49" fontId="31" fillId="60" borderId="15" xfId="80" applyNumberFormat="1" applyFont="1" applyFill="1" applyBorder="1" applyAlignment="1">
      <alignment horizontal="center" vertical="center" wrapText="1"/>
    </xf>
    <xf numFmtId="164" fontId="4" fillId="61" borderId="19" xfId="80" applyNumberFormat="1" applyFont="1" applyFill="1" applyBorder="1" applyAlignment="1">
      <alignment vertical="center" shrinkToFit="1"/>
    </xf>
    <xf numFmtId="164" fontId="3" fillId="61" borderId="19" xfId="80" applyNumberFormat="1" applyFont="1" applyFill="1" applyBorder="1" applyAlignment="1">
      <alignment vertical="center" shrinkToFit="1"/>
    </xf>
    <xf numFmtId="164" fontId="3" fillId="61" borderId="19" xfId="80" applyNumberFormat="1" applyFont="1" applyFill="1" applyBorder="1" applyAlignment="1">
      <alignment horizontal="center" vertical="center" shrinkToFit="1"/>
    </xf>
    <xf numFmtId="166" fontId="3" fillId="61" borderId="19" xfId="80" applyNumberFormat="1" applyFont="1" applyFill="1" applyBorder="1" applyAlignment="1">
      <alignment vertical="center" shrinkToFit="1"/>
    </xf>
    <xf numFmtId="164" fontId="4" fillId="61" borderId="19" xfId="80" applyNumberFormat="1" applyFont="1" applyFill="1" applyBorder="1" applyAlignment="1">
      <alignment horizontal="center" vertical="center" shrinkToFit="1"/>
    </xf>
    <xf numFmtId="164" fontId="3" fillId="61" borderId="20" xfId="80" applyNumberFormat="1" applyFont="1" applyFill="1" applyBorder="1" applyAlignment="1">
      <alignment vertical="center" shrinkToFit="1"/>
    </xf>
    <xf numFmtId="165" fontId="4" fillId="0" borderId="18" xfId="86" applyNumberFormat="1" applyFont="1" applyFill="1" applyBorder="1" applyAlignment="1">
      <alignment horizontal="right" vertical="center" wrapText="1"/>
    </xf>
    <xf numFmtId="165" fontId="4" fillId="0" borderId="16" xfId="86" applyNumberFormat="1" applyFont="1" applyFill="1" applyBorder="1" applyAlignment="1">
      <alignment horizontal="right" vertical="center" wrapText="1"/>
    </xf>
    <xf numFmtId="165" fontId="4" fillId="0" borderId="17" xfId="86" applyNumberFormat="1" applyFont="1" applyFill="1" applyBorder="1" applyAlignment="1">
      <alignment horizontal="right" vertical="center" wrapText="1"/>
    </xf>
    <xf numFmtId="165" fontId="3" fillId="0" borderId="23" xfId="86" applyNumberFormat="1" applyFont="1" applyFill="1" applyBorder="1" applyAlignment="1">
      <alignment horizontal="right" vertical="center" wrapText="1"/>
    </xf>
    <xf numFmtId="165" fontId="3" fillId="0" borderId="21" xfId="86" applyNumberFormat="1" applyFont="1" applyFill="1" applyBorder="1" applyAlignment="1">
      <alignment horizontal="right" vertical="center" wrapText="1"/>
    </xf>
    <xf numFmtId="165" fontId="3" fillId="0" borderId="22" xfId="86" applyNumberFormat="1" applyFont="1" applyFill="1" applyBorder="1" applyAlignment="1">
      <alignment horizontal="right" vertical="center" wrapText="1"/>
    </xf>
    <xf numFmtId="165" fontId="3" fillId="0" borderId="26" xfId="86" applyNumberFormat="1" applyFont="1" applyFill="1" applyBorder="1" applyAlignment="1">
      <alignment horizontal="right" vertical="center" wrapText="1"/>
    </xf>
    <xf numFmtId="165" fontId="3" fillId="0" borderId="24" xfId="86" applyNumberFormat="1" applyFont="1" applyFill="1" applyBorder="1" applyAlignment="1">
      <alignment horizontal="right" vertical="center" wrapText="1"/>
    </xf>
    <xf numFmtId="165" fontId="3" fillId="0" borderId="25" xfId="86" applyNumberFormat="1" applyFont="1" applyFill="1" applyBorder="1" applyAlignment="1">
      <alignment horizontal="right" vertical="center" wrapText="1"/>
    </xf>
    <xf numFmtId="165" fontId="3" fillId="0" borderId="18" xfId="86" applyNumberFormat="1" applyFont="1" applyFill="1" applyBorder="1" applyAlignment="1">
      <alignment horizontal="right" vertical="center" wrapText="1"/>
    </xf>
    <xf numFmtId="165" fontId="3" fillId="0" borderId="16" xfId="86" applyNumberFormat="1" applyFont="1" applyFill="1" applyBorder="1" applyAlignment="1">
      <alignment horizontal="right" vertical="center" wrapText="1"/>
    </xf>
    <xf numFmtId="165" fontId="3" fillId="0" borderId="17" xfId="86" applyNumberFormat="1" applyFont="1" applyFill="1" applyBorder="1" applyAlignment="1">
      <alignment horizontal="right" vertical="center" wrapText="1"/>
    </xf>
    <xf numFmtId="165" fontId="4" fillId="61" borderId="16" xfId="80" applyNumberFormat="1" applyFont="1" applyFill="1" applyBorder="1" applyAlignment="1">
      <alignment horizontal="right" vertical="center" wrapText="1"/>
    </xf>
    <xf numFmtId="165" fontId="4" fillId="61" borderId="17" xfId="80" applyNumberFormat="1" applyFont="1" applyFill="1" applyBorder="1" applyAlignment="1">
      <alignment horizontal="right" vertical="center" wrapText="1"/>
    </xf>
    <xf numFmtId="165" fontId="3" fillId="61" borderId="21" xfId="80" applyNumberFormat="1" applyFont="1" applyFill="1" applyBorder="1" applyAlignment="1">
      <alignment horizontal="right" vertical="center" wrapText="1"/>
    </xf>
    <xf numFmtId="165" fontId="3" fillId="61" borderId="22" xfId="80" applyNumberFormat="1" applyFont="1" applyFill="1" applyBorder="1" applyAlignment="1">
      <alignment horizontal="right" vertical="center" wrapText="1"/>
    </xf>
    <xf numFmtId="165" fontId="4" fillId="61" borderId="21" xfId="80" applyNumberFormat="1" applyFont="1" applyFill="1" applyBorder="1" applyAlignment="1">
      <alignment horizontal="right" vertical="center" wrapText="1"/>
    </xf>
    <xf numFmtId="165" fontId="4" fillId="61" borderId="22" xfId="80" applyNumberFormat="1" applyFont="1" applyFill="1" applyBorder="1" applyAlignment="1">
      <alignment horizontal="right" vertical="center" wrapText="1"/>
    </xf>
    <xf numFmtId="165" fontId="4" fillId="61" borderId="24" xfId="80" applyNumberFormat="1" applyFont="1" applyFill="1" applyBorder="1" applyAlignment="1">
      <alignment horizontal="right" vertical="center" wrapText="1"/>
    </xf>
    <xf numFmtId="165" fontId="4" fillId="61" borderId="25" xfId="80" applyNumberFormat="1" applyFont="1" applyFill="1" applyBorder="1" applyAlignment="1">
      <alignment horizontal="right" vertical="center" wrapText="1"/>
    </xf>
    <xf numFmtId="165" fontId="3" fillId="61" borderId="24" xfId="80" applyNumberFormat="1" applyFont="1" applyFill="1" applyBorder="1" applyAlignment="1">
      <alignment horizontal="right" vertical="center" wrapText="1"/>
    </xf>
    <xf numFmtId="165" fontId="3" fillId="61" borderId="25" xfId="80" applyNumberFormat="1" applyFont="1" applyFill="1" applyBorder="1" applyAlignment="1">
      <alignment horizontal="right" vertical="center" wrapText="1"/>
    </xf>
    <xf numFmtId="164" fontId="4" fillId="63" borderId="23" xfId="80" applyNumberFormat="1" applyFont="1" applyFill="1" applyBorder="1" applyAlignment="1" applyProtection="1">
      <alignment vertical="center" shrinkToFit="1"/>
    </xf>
    <xf numFmtId="164" fontId="4" fillId="63" borderId="21" xfId="80" applyNumberFormat="1" applyFont="1" applyFill="1" applyBorder="1" applyAlignment="1" applyProtection="1">
      <alignment vertical="center" shrinkToFit="1"/>
    </xf>
    <xf numFmtId="164" fontId="4" fillId="63" borderId="22" xfId="80" applyNumberFormat="1" applyFont="1" applyFill="1" applyBorder="1" applyAlignment="1" applyProtection="1">
      <alignment vertical="center" shrinkToFit="1"/>
    </xf>
    <xf numFmtId="0" fontId="6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Protection="1">
      <protection locked="0"/>
    </xf>
    <xf numFmtId="49" fontId="31" fillId="60" borderId="30" xfId="80" applyNumberFormat="1" applyFont="1" applyFill="1" applyBorder="1" applyAlignment="1" applyProtection="1">
      <alignment horizontal="center" vertical="center"/>
      <protection locked="0"/>
    </xf>
    <xf numFmtId="49" fontId="31" fillId="60" borderId="15" xfId="80" applyNumberFormat="1" applyFont="1" applyFill="1" applyBorder="1" applyAlignment="1" applyProtection="1">
      <alignment horizontal="center" vertical="center" wrapText="1"/>
      <protection locked="0"/>
    </xf>
    <xf numFmtId="49" fontId="31" fillId="60" borderId="16" xfId="80" applyNumberFormat="1" applyFont="1" applyFill="1" applyBorder="1" applyAlignment="1" applyProtection="1">
      <alignment horizontal="center" vertical="center" wrapText="1"/>
      <protection locked="0"/>
    </xf>
    <xf numFmtId="49" fontId="31" fillId="60" borderId="17" xfId="80" applyNumberFormat="1" applyFont="1" applyFill="1" applyBorder="1" applyAlignment="1" applyProtection="1">
      <alignment horizontal="center" vertical="center" wrapText="1"/>
      <protection locked="0"/>
    </xf>
    <xf numFmtId="1" fontId="31" fillId="60" borderId="18" xfId="80" applyNumberFormat="1" applyFont="1" applyFill="1" applyBorder="1" applyAlignment="1" applyProtection="1">
      <alignment horizontal="center" vertical="center"/>
      <protection locked="0"/>
    </xf>
    <xf numFmtId="1" fontId="31" fillId="60" borderId="16" xfId="80" applyNumberFormat="1" applyFont="1" applyFill="1" applyBorder="1" applyAlignment="1" applyProtection="1">
      <alignment horizontal="center" vertical="center"/>
      <protection locked="0"/>
    </xf>
    <xf numFmtId="1" fontId="31" fillId="60" borderId="17" xfId="8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24" borderId="0" xfId="0" applyFont="1" applyFill="1" applyAlignment="1" applyProtection="1">
      <alignment horizontal="center"/>
      <protection locked="0"/>
    </xf>
    <xf numFmtId="0" fontId="55" fillId="0" borderId="0" xfId="0" applyFont="1" applyProtection="1">
      <protection locked="0"/>
    </xf>
    <xf numFmtId="0" fontId="67" fillId="0" borderId="19" xfId="0" applyFont="1" applyBorder="1" applyAlignment="1" applyProtection="1">
      <alignment horizontal="left" vertical="center"/>
      <protection locked="0"/>
    </xf>
    <xf numFmtId="0" fontId="67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3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5" fillId="62" borderId="0" xfId="0" applyFont="1" applyFill="1" applyBorder="1" applyAlignment="1" applyProtection="1">
      <alignment horizontal="left" vertical="center" wrapText="1"/>
      <protection locked="0"/>
    </xf>
    <xf numFmtId="0" fontId="35" fillId="58" borderId="0" xfId="0" applyFont="1" applyFill="1" applyBorder="1" applyAlignment="1" applyProtection="1">
      <alignment horizontal="left" vertical="center" wrapText="1"/>
      <protection locked="0"/>
    </xf>
    <xf numFmtId="0" fontId="35" fillId="57" borderId="0" xfId="0" applyFont="1" applyFill="1" applyBorder="1" applyAlignment="1" applyProtection="1">
      <alignment horizontal="left" vertical="center" wrapText="1"/>
      <protection locked="0"/>
    </xf>
    <xf numFmtId="166" fontId="3" fillId="63" borderId="23" xfId="80" applyNumberFormat="1" applyFont="1" applyFill="1" applyBorder="1" applyAlignment="1" applyProtection="1">
      <alignment horizontal="right" vertical="center" shrinkToFit="1"/>
    </xf>
    <xf numFmtId="166" fontId="3" fillId="63" borderId="21" xfId="80" applyNumberFormat="1" applyFont="1" applyFill="1" applyBorder="1" applyAlignment="1" applyProtection="1">
      <alignment horizontal="right" vertical="center" shrinkToFit="1"/>
    </xf>
    <xf numFmtId="166" fontId="3" fillId="63" borderId="22" xfId="80" applyNumberFormat="1" applyFont="1" applyFill="1" applyBorder="1" applyAlignment="1" applyProtection="1">
      <alignment horizontal="right" vertical="center" shrinkToFit="1"/>
    </xf>
    <xf numFmtId="164" fontId="3" fillId="63" borderId="23" xfId="80" applyNumberFormat="1" applyFont="1" applyFill="1" applyBorder="1" applyAlignment="1" applyProtection="1">
      <alignment vertical="center" shrinkToFit="1"/>
    </xf>
    <xf numFmtId="164" fontId="3" fillId="63" borderId="21" xfId="80" applyNumberFormat="1" applyFont="1" applyFill="1" applyBorder="1" applyAlignment="1" applyProtection="1">
      <alignment vertical="center" shrinkToFit="1"/>
    </xf>
    <xf numFmtId="164" fontId="3" fillId="63" borderId="22" xfId="80" applyNumberFormat="1" applyFont="1" applyFill="1" applyBorder="1" applyAlignment="1" applyProtection="1">
      <alignment vertical="center" shrinkToFit="1"/>
    </xf>
    <xf numFmtId="0" fontId="3" fillId="63" borderId="23" xfId="80" applyNumberFormat="1" applyFont="1" applyFill="1" applyBorder="1" applyAlignment="1" applyProtection="1">
      <alignment horizontal="right" vertical="center" shrinkToFit="1"/>
    </xf>
    <xf numFmtId="0" fontId="3" fillId="63" borderId="22" xfId="80" applyNumberFormat="1" applyFont="1" applyFill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left"/>
      <protection locked="0"/>
    </xf>
    <xf numFmtId="0" fontId="71" fillId="0" borderId="0" xfId="0" applyFont="1"/>
    <xf numFmtId="0" fontId="3" fillId="64" borderId="33" xfId="0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3" fillId="64" borderId="34" xfId="0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9" fillId="64" borderId="34" xfId="0" applyFont="1" applyFill="1" applyBorder="1" applyAlignment="1">
      <alignment horizontal="left" vertical="center" wrapText="1"/>
    </xf>
    <xf numFmtId="0" fontId="39" fillId="64" borderId="35" xfId="0" applyFont="1" applyFill="1" applyBorder="1" applyAlignment="1">
      <alignment horizontal="left" vertical="center" wrapText="1"/>
    </xf>
    <xf numFmtId="4" fontId="3" fillId="0" borderId="2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0" fontId="3" fillId="0" borderId="0" xfId="0" applyFont="1"/>
    <xf numFmtId="0" fontId="4" fillId="0" borderId="11" xfId="0" applyFont="1" applyBorder="1" applyAlignment="1">
      <alignment vertical="center"/>
    </xf>
    <xf numFmtId="165" fontId="4" fillId="61" borderId="16" xfId="0" applyNumberFormat="1" applyFont="1" applyFill="1" applyBorder="1" applyAlignment="1">
      <alignment horizontal="right" vertical="center"/>
    </xf>
    <xf numFmtId="165" fontId="4" fillId="61" borderId="17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1"/>
    </xf>
    <xf numFmtId="165" fontId="3" fillId="0" borderId="23" xfId="86" applyNumberFormat="1" applyFont="1" applyFill="1" applyBorder="1" applyAlignment="1">
      <alignment horizontal="right" vertical="center"/>
    </xf>
    <xf numFmtId="165" fontId="3" fillId="0" borderId="21" xfId="86" applyNumberFormat="1" applyFont="1" applyFill="1" applyBorder="1" applyAlignment="1">
      <alignment horizontal="right" vertical="center"/>
    </xf>
    <xf numFmtId="165" fontId="3" fillId="0" borderId="22" xfId="86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165" fontId="3" fillId="0" borderId="36" xfId="86" applyNumberFormat="1" applyFont="1" applyFill="1" applyBorder="1" applyAlignment="1">
      <alignment horizontal="right" vertical="center"/>
    </xf>
    <xf numFmtId="165" fontId="3" fillId="0" borderId="37" xfId="86" applyNumberFormat="1" applyFont="1" applyFill="1" applyBorder="1" applyAlignment="1">
      <alignment horizontal="right" vertical="center"/>
    </xf>
    <xf numFmtId="165" fontId="3" fillId="0" borderId="38" xfId="86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indent="1"/>
    </xf>
    <xf numFmtId="165" fontId="3" fillId="0" borderId="26" xfId="86" applyNumberFormat="1" applyFont="1" applyFill="1" applyBorder="1" applyAlignment="1">
      <alignment horizontal="right" vertical="center"/>
    </xf>
    <xf numFmtId="165" fontId="3" fillId="0" borderId="24" xfId="86" applyNumberFormat="1" applyFont="1" applyFill="1" applyBorder="1" applyAlignment="1">
      <alignment horizontal="right" vertical="center"/>
    </xf>
    <xf numFmtId="165" fontId="3" fillId="0" borderId="25" xfId="86" applyNumberFormat="1" applyFont="1" applyFill="1" applyBorder="1" applyAlignment="1">
      <alignment horizontal="right" vertical="center"/>
    </xf>
    <xf numFmtId="0" fontId="40" fillId="0" borderId="0" xfId="0" applyFont="1" applyFill="1"/>
    <xf numFmtId="0" fontId="3" fillId="0" borderId="0" xfId="0" applyFont="1" applyAlignment="1">
      <alignment vertical="center"/>
    </xf>
    <xf numFmtId="164" fontId="4" fillId="61" borderId="15" xfId="0" applyNumberFormat="1" applyFont="1" applyFill="1" applyBorder="1" applyAlignment="1">
      <alignment vertical="center"/>
    </xf>
    <xf numFmtId="164" fontId="4" fillId="61" borderId="16" xfId="0" applyNumberFormat="1" applyFont="1" applyFill="1" applyBorder="1" applyAlignment="1">
      <alignment vertical="center"/>
    </xf>
    <xf numFmtId="164" fontId="4" fillId="61" borderId="17" xfId="0" applyNumberFormat="1" applyFont="1" applyFill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61" borderId="19" xfId="0" applyNumberFormat="1" applyFont="1" applyFill="1" applyBorder="1" applyAlignment="1">
      <alignment vertical="center"/>
    </xf>
    <xf numFmtId="164" fontId="3" fillId="61" borderId="21" xfId="0" applyNumberFormat="1" applyFont="1" applyFill="1" applyBorder="1" applyAlignment="1">
      <alignment vertical="center"/>
    </xf>
    <xf numFmtId="164" fontId="3" fillId="61" borderId="22" xfId="0" applyNumberFormat="1" applyFont="1" applyFill="1" applyBorder="1" applyAlignment="1">
      <alignment vertical="center"/>
    </xf>
    <xf numFmtId="164" fontId="3" fillId="61" borderId="20" xfId="0" applyNumberFormat="1" applyFont="1" applyFill="1" applyBorder="1" applyAlignment="1">
      <alignment vertical="center"/>
    </xf>
    <xf numFmtId="164" fontId="3" fillId="61" borderId="24" xfId="0" applyNumberFormat="1" applyFont="1" applyFill="1" applyBorder="1" applyAlignment="1">
      <alignment vertical="center"/>
    </xf>
    <xf numFmtId="164" fontId="3" fillId="61" borderId="25" xfId="0" applyNumberFormat="1" applyFont="1" applyFill="1" applyBorder="1" applyAlignment="1">
      <alignment vertical="center"/>
    </xf>
    <xf numFmtId="4" fontId="3" fillId="61" borderId="15" xfId="0" applyNumberFormat="1" applyFont="1" applyFill="1" applyBorder="1" applyAlignment="1">
      <alignment vertical="center"/>
    </xf>
    <xf numFmtId="4" fontId="3" fillId="61" borderId="16" xfId="0" applyNumberFormat="1" applyFont="1" applyFill="1" applyBorder="1" applyAlignment="1">
      <alignment vertical="center"/>
    </xf>
    <xf numFmtId="4" fontId="3" fillId="61" borderId="17" xfId="0" applyNumberFormat="1" applyFont="1" applyFill="1" applyBorder="1" applyAlignment="1">
      <alignment vertical="center"/>
    </xf>
    <xf numFmtId="4" fontId="3" fillId="61" borderId="19" xfId="0" applyNumberFormat="1" applyFont="1" applyFill="1" applyBorder="1" applyAlignment="1">
      <alignment vertical="center"/>
    </xf>
    <xf numFmtId="4" fontId="3" fillId="61" borderId="21" xfId="0" applyNumberFormat="1" applyFont="1" applyFill="1" applyBorder="1" applyAlignment="1">
      <alignment vertical="center"/>
    </xf>
    <xf numFmtId="4" fontId="3" fillId="61" borderId="22" xfId="0" applyNumberFormat="1" applyFont="1" applyFill="1" applyBorder="1" applyAlignment="1">
      <alignment vertical="center"/>
    </xf>
    <xf numFmtId="4" fontId="3" fillId="61" borderId="24" xfId="0" applyNumberFormat="1" applyFont="1" applyFill="1" applyBorder="1" applyAlignment="1">
      <alignment vertical="center"/>
    </xf>
    <xf numFmtId="4" fontId="3" fillId="61" borderId="25" xfId="0" applyNumberFormat="1" applyFont="1" applyFill="1" applyBorder="1" applyAlignment="1">
      <alignment vertical="center"/>
    </xf>
    <xf numFmtId="165" fontId="3" fillId="61" borderId="21" xfId="0" applyNumberFormat="1" applyFont="1" applyFill="1" applyBorder="1" applyAlignment="1">
      <alignment horizontal="right" vertical="center"/>
    </xf>
    <xf numFmtId="165" fontId="3" fillId="61" borderId="22" xfId="0" applyNumberFormat="1" applyFont="1" applyFill="1" applyBorder="1" applyAlignment="1">
      <alignment horizontal="right" vertical="center"/>
    </xf>
    <xf numFmtId="165" fontId="3" fillId="61" borderId="21" xfId="0" applyNumberFormat="1" applyFont="1" applyFill="1" applyBorder="1" applyAlignment="1">
      <alignment horizontal="right" vertical="center" wrapText="1"/>
    </xf>
    <xf numFmtId="165" fontId="3" fillId="61" borderId="22" xfId="0" applyNumberFormat="1" applyFont="1" applyFill="1" applyBorder="1" applyAlignment="1">
      <alignment horizontal="right" vertical="center" wrapText="1"/>
    </xf>
    <xf numFmtId="165" fontId="3" fillId="61" borderId="37" xfId="0" applyNumberFormat="1" applyFont="1" applyFill="1" applyBorder="1" applyAlignment="1">
      <alignment horizontal="right" vertical="center" wrapText="1"/>
    </xf>
    <xf numFmtId="165" fontId="3" fillId="61" borderId="38" xfId="0" applyNumberFormat="1" applyFont="1" applyFill="1" applyBorder="1" applyAlignment="1">
      <alignment horizontal="right" vertical="center" wrapText="1"/>
    </xf>
    <xf numFmtId="165" fontId="4" fillId="61" borderId="21" xfId="0" applyNumberFormat="1" applyFont="1" applyFill="1" applyBorder="1" applyAlignment="1">
      <alignment horizontal="right" vertical="center"/>
    </xf>
    <xf numFmtId="165" fontId="4" fillId="61" borderId="22" xfId="0" applyNumberFormat="1" applyFont="1" applyFill="1" applyBorder="1" applyAlignment="1">
      <alignment horizontal="right" vertical="center"/>
    </xf>
    <xf numFmtId="165" fontId="3" fillId="61" borderId="24" xfId="0" applyNumberFormat="1" applyFont="1" applyFill="1" applyBorder="1" applyAlignment="1">
      <alignment horizontal="right" vertical="center" wrapText="1"/>
    </xf>
    <xf numFmtId="165" fontId="3" fillId="61" borderId="25" xfId="0" applyNumberFormat="1" applyFont="1" applyFill="1" applyBorder="1" applyAlignment="1">
      <alignment horizontal="right" vertical="center" wrapText="1"/>
    </xf>
    <xf numFmtId="165" fontId="3" fillId="61" borderId="16" xfId="80" applyNumberFormat="1" applyFont="1" applyFill="1" applyBorder="1" applyAlignment="1">
      <alignment horizontal="right" vertical="center" wrapText="1"/>
    </xf>
    <xf numFmtId="165" fontId="3" fillId="61" borderId="17" xfId="80" applyNumberFormat="1" applyFont="1" applyFill="1" applyBorder="1" applyAlignment="1">
      <alignment horizontal="right" vertical="center" wrapText="1"/>
    </xf>
    <xf numFmtId="164" fontId="4" fillId="61" borderId="19" xfId="80" applyNumberFormat="1" applyFont="1" applyFill="1" applyBorder="1" applyAlignment="1" applyProtection="1">
      <alignment vertical="center" shrinkToFit="1"/>
    </xf>
    <xf numFmtId="164" fontId="4" fillId="61" borderId="21" xfId="80" applyNumberFormat="1" applyFont="1" applyFill="1" applyBorder="1" applyAlignment="1" applyProtection="1">
      <alignment vertical="center" shrinkToFit="1"/>
    </xf>
    <xf numFmtId="164" fontId="3" fillId="61" borderId="19" xfId="80" applyNumberFormat="1" applyFont="1" applyFill="1" applyBorder="1" applyAlignment="1" applyProtection="1">
      <alignment vertical="center" shrinkToFit="1"/>
    </xf>
    <xf numFmtId="164" fontId="3" fillId="61" borderId="21" xfId="80" applyNumberFormat="1" applyFont="1" applyFill="1" applyBorder="1" applyAlignment="1" applyProtection="1">
      <alignment vertical="center" shrinkToFit="1"/>
    </xf>
    <xf numFmtId="164" fontId="3" fillId="61" borderId="19" xfId="80" applyNumberFormat="1" applyFont="1" applyFill="1" applyBorder="1" applyAlignment="1" applyProtection="1">
      <alignment horizontal="center" vertical="center" shrinkToFit="1"/>
    </xf>
    <xf numFmtId="164" fontId="3" fillId="61" borderId="21" xfId="80" applyNumberFormat="1" applyFont="1" applyFill="1" applyBorder="1" applyAlignment="1" applyProtection="1">
      <alignment horizontal="center" vertical="center" shrinkToFit="1"/>
    </xf>
    <xf numFmtId="166" fontId="3" fillId="61" borderId="19" xfId="80" applyNumberFormat="1" applyFont="1" applyFill="1" applyBorder="1" applyAlignment="1" applyProtection="1">
      <alignment vertical="center" shrinkToFit="1"/>
    </xf>
    <xf numFmtId="166" fontId="3" fillId="61" borderId="21" xfId="80" applyNumberFormat="1" applyFont="1" applyFill="1" applyBorder="1" applyAlignment="1" applyProtection="1">
      <alignment vertical="center" shrinkToFit="1"/>
    </xf>
    <xf numFmtId="164" fontId="4" fillId="61" borderId="19" xfId="80" applyNumberFormat="1" applyFont="1" applyFill="1" applyBorder="1" applyAlignment="1" applyProtection="1">
      <alignment horizontal="center" vertical="center" shrinkToFit="1"/>
    </xf>
    <xf numFmtId="164" fontId="4" fillId="61" borderId="21" xfId="80" applyNumberFormat="1" applyFont="1" applyFill="1" applyBorder="1" applyAlignment="1" applyProtection="1">
      <alignment horizontal="center" vertical="center" shrinkToFit="1"/>
    </xf>
    <xf numFmtId="164" fontId="3" fillId="61" borderId="20" xfId="80" applyNumberFormat="1" applyFont="1" applyFill="1" applyBorder="1" applyAlignment="1" applyProtection="1">
      <alignment vertical="center" shrinkToFit="1"/>
    </xf>
    <xf numFmtId="164" fontId="3" fillId="61" borderId="24" xfId="80" applyNumberFormat="1" applyFont="1" applyFill="1" applyBorder="1" applyAlignment="1" applyProtection="1">
      <alignment vertical="center" shrinkToFit="1"/>
    </xf>
    <xf numFmtId="0" fontId="66" fillId="0" borderId="31" xfId="0" applyFont="1" applyBorder="1" applyAlignment="1" applyProtection="1">
      <alignment horizontal="left" vertical="center" wrapText="1"/>
      <protection locked="0"/>
    </xf>
    <xf numFmtId="0" fontId="67" fillId="0" borderId="31" xfId="0" applyFont="1" applyBorder="1" applyAlignment="1" applyProtection="1">
      <alignment horizontal="left" vertical="center" wrapText="1"/>
      <protection locked="0"/>
    </xf>
    <xf numFmtId="0" fontId="67" fillId="0" borderId="39" xfId="0" applyFont="1" applyBorder="1" applyAlignment="1" applyProtection="1">
      <alignment horizontal="left" vertical="center" wrapText="1"/>
      <protection locked="0"/>
    </xf>
    <xf numFmtId="164" fontId="4" fillId="61" borderId="16" xfId="0" applyNumberFormat="1" applyFont="1" applyFill="1" applyBorder="1" applyAlignment="1">
      <alignment horizontal="right" vertical="center"/>
    </xf>
    <xf numFmtId="164" fontId="4" fillId="61" borderId="17" xfId="0" applyNumberFormat="1" applyFont="1" applyFill="1" applyBorder="1" applyAlignment="1">
      <alignment horizontal="right" vertical="center"/>
    </xf>
    <xf numFmtId="164" fontId="4" fillId="61" borderId="19" xfId="0" applyNumberFormat="1" applyFont="1" applyFill="1" applyBorder="1" applyAlignment="1">
      <alignment vertical="center"/>
    </xf>
    <xf numFmtId="164" fontId="4" fillId="61" borderId="21" xfId="0" applyNumberFormat="1" applyFont="1" applyFill="1" applyBorder="1" applyAlignment="1">
      <alignment vertical="center"/>
    </xf>
    <xf numFmtId="164" fontId="4" fillId="61" borderId="22" xfId="0" applyNumberFormat="1" applyFont="1" applyFill="1" applyBorder="1" applyAlignment="1">
      <alignment vertical="center"/>
    </xf>
    <xf numFmtId="164" fontId="3" fillId="61" borderId="21" xfId="0" applyNumberFormat="1" applyFont="1" applyFill="1" applyBorder="1" applyAlignment="1">
      <alignment horizontal="right" vertical="center"/>
    </xf>
    <xf numFmtId="164" fontId="3" fillId="61" borderId="22" xfId="0" applyNumberFormat="1" applyFont="1" applyFill="1" applyBorder="1" applyAlignment="1">
      <alignment horizontal="right" vertical="center"/>
    </xf>
    <xf numFmtId="164" fontId="3" fillId="61" borderId="21" xfId="0" applyNumberFormat="1" applyFont="1" applyFill="1" applyBorder="1" applyAlignment="1">
      <alignment horizontal="right" vertical="center" wrapText="1"/>
    </xf>
    <xf numFmtId="164" fontId="3" fillId="61" borderId="22" xfId="0" applyNumberFormat="1" applyFont="1" applyFill="1" applyBorder="1" applyAlignment="1">
      <alignment horizontal="right" vertical="center" wrapText="1"/>
    </xf>
    <xf numFmtId="164" fontId="3" fillId="61" borderId="24" xfId="0" applyNumberFormat="1" applyFont="1" applyFill="1" applyBorder="1" applyAlignment="1">
      <alignment horizontal="right" vertical="center" wrapText="1"/>
    </xf>
    <xf numFmtId="164" fontId="3" fillId="61" borderId="25" xfId="0" applyNumberFormat="1" applyFont="1" applyFill="1" applyBorder="1" applyAlignment="1">
      <alignment horizontal="right" vertical="center" wrapText="1"/>
    </xf>
    <xf numFmtId="164" fontId="4" fillId="61" borderId="21" xfId="0" applyNumberFormat="1" applyFont="1" applyFill="1" applyBorder="1" applyAlignment="1">
      <alignment horizontal="right" vertical="center"/>
    </xf>
    <xf numFmtId="164" fontId="4" fillId="61" borderId="22" xfId="0" applyNumberFormat="1" applyFont="1" applyFill="1" applyBorder="1" applyAlignment="1">
      <alignment horizontal="right" vertical="center"/>
    </xf>
    <xf numFmtId="0" fontId="4" fillId="0" borderId="0" xfId="0" applyFont="1"/>
    <xf numFmtId="165" fontId="4" fillId="0" borderId="18" xfId="86" applyNumberFormat="1" applyFont="1" applyFill="1" applyBorder="1" applyAlignment="1">
      <alignment horizontal="right" vertical="center"/>
    </xf>
    <xf numFmtId="165" fontId="4" fillId="0" borderId="16" xfId="86" applyNumberFormat="1" applyFont="1" applyFill="1" applyBorder="1" applyAlignment="1">
      <alignment horizontal="right" vertical="center"/>
    </xf>
    <xf numFmtId="165" fontId="4" fillId="0" borderId="17" xfId="86" applyNumberFormat="1" applyFont="1" applyFill="1" applyBorder="1" applyAlignment="1">
      <alignment horizontal="right" vertical="center"/>
    </xf>
    <xf numFmtId="0" fontId="72" fillId="0" borderId="0" xfId="0" applyFont="1"/>
    <xf numFmtId="165" fontId="4" fillId="0" borderId="23" xfId="86" applyNumberFormat="1" applyFont="1" applyFill="1" applyBorder="1" applyAlignment="1">
      <alignment horizontal="right" vertical="center"/>
    </xf>
    <xf numFmtId="165" fontId="4" fillId="0" borderId="21" xfId="86" applyNumberFormat="1" applyFont="1" applyFill="1" applyBorder="1" applyAlignment="1">
      <alignment horizontal="right" vertical="center"/>
    </xf>
    <xf numFmtId="165" fontId="4" fillId="0" borderId="22" xfId="86" applyNumberFormat="1" applyFont="1" applyFill="1" applyBorder="1" applyAlignment="1">
      <alignment horizontal="right" vertical="center"/>
    </xf>
    <xf numFmtId="164" fontId="4" fillId="0" borderId="18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33" fillId="0" borderId="0" xfId="0" applyFont="1"/>
    <xf numFmtId="0" fontId="3" fillId="0" borderId="11" xfId="0" applyFont="1" applyBorder="1"/>
    <xf numFmtId="10" fontId="3" fillId="0" borderId="18" xfId="0" applyNumberFormat="1" applyFont="1" applyFill="1" applyBorder="1" applyAlignment="1">
      <alignment vertical="center"/>
    </xf>
    <xf numFmtId="10" fontId="3" fillId="0" borderId="16" xfId="0" applyNumberFormat="1" applyFont="1" applyFill="1" applyBorder="1" applyAlignment="1">
      <alignment vertical="center"/>
    </xf>
    <xf numFmtId="10" fontId="3" fillId="0" borderId="17" xfId="0" applyNumberFormat="1" applyFont="1" applyFill="1" applyBorder="1" applyAlignment="1">
      <alignment vertical="center"/>
    </xf>
    <xf numFmtId="0" fontId="3" fillId="0" borderId="13" xfId="0" applyFont="1" applyBorder="1"/>
    <xf numFmtId="10" fontId="3" fillId="0" borderId="26" xfId="0" applyNumberFormat="1" applyFont="1" applyFill="1" applyBorder="1" applyAlignment="1">
      <alignment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7" fillId="0" borderId="40" xfId="0" applyFont="1" applyBorder="1" applyAlignment="1" applyProtection="1">
      <alignment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80" applyNumberFormat="1" applyFont="1" applyFill="1" applyBorder="1" applyAlignment="1">
      <alignment horizontal="center" vertical="center" shrinkToFit="1"/>
    </xf>
    <xf numFmtId="0" fontId="3" fillId="0" borderId="21" xfId="80" applyNumberFormat="1" applyFont="1" applyFill="1" applyBorder="1" applyAlignment="1">
      <alignment horizontal="center" vertical="center" shrinkToFit="1"/>
    </xf>
    <xf numFmtId="0" fontId="3" fillId="0" borderId="22" xfId="80" applyNumberFormat="1" applyFont="1" applyFill="1" applyBorder="1" applyAlignment="1">
      <alignment horizontal="center" vertical="center" shrinkToFit="1"/>
    </xf>
    <xf numFmtId="166" fontId="3" fillId="63" borderId="19" xfId="80" applyNumberFormat="1" applyFont="1" applyFill="1" applyBorder="1" applyAlignment="1" applyProtection="1">
      <alignment horizontal="right" vertical="center" shrinkToFit="1"/>
    </xf>
    <xf numFmtId="0" fontId="37" fillId="0" borderId="0" xfId="0" applyFont="1"/>
    <xf numFmtId="0" fontId="31" fillId="0" borderId="0" xfId="0" applyFont="1"/>
    <xf numFmtId="0" fontId="35" fillId="0" borderId="40" xfId="0" applyFont="1" applyFill="1" applyBorder="1" applyAlignment="1" applyProtection="1">
      <alignment vertical="center"/>
      <protection locked="0"/>
    </xf>
    <xf numFmtId="0" fontId="41" fillId="0" borderId="4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40" xfId="0" applyFont="1" applyBorder="1" applyAlignment="1" applyProtection="1">
      <alignment horizontal="left" vertical="center"/>
      <protection locked="0"/>
    </xf>
    <xf numFmtId="164" fontId="3" fillId="61" borderId="22" xfId="80" applyNumberFormat="1" applyFont="1" applyFill="1" applyBorder="1" applyAlignment="1" applyProtection="1">
      <alignment vertical="center" shrinkToFit="1"/>
    </xf>
    <xf numFmtId="164" fontId="3" fillId="65" borderId="23" xfId="80" applyNumberFormat="1" applyFont="1" applyFill="1" applyBorder="1" applyAlignment="1" applyProtection="1">
      <alignment vertical="center" shrinkToFit="1"/>
    </xf>
    <xf numFmtId="164" fontId="3" fillId="65" borderId="21" xfId="80" applyNumberFormat="1" applyFont="1" applyFill="1" applyBorder="1" applyAlignment="1" applyProtection="1">
      <alignment vertical="center" shrinkToFit="1"/>
    </xf>
    <xf numFmtId="164" fontId="3" fillId="65" borderId="22" xfId="80" applyNumberFormat="1" applyFont="1" applyFill="1" applyBorder="1" applyAlignment="1" applyProtection="1">
      <alignment vertical="center" shrinkToFit="1"/>
    </xf>
    <xf numFmtId="164" fontId="3" fillId="61" borderId="22" xfId="80" applyNumberFormat="1" applyFont="1" applyFill="1" applyBorder="1" applyAlignment="1" applyProtection="1">
      <alignment horizontal="center" vertical="center" shrinkToFit="1"/>
    </xf>
    <xf numFmtId="164" fontId="4" fillId="61" borderId="22" xfId="80" applyNumberFormat="1" applyFont="1" applyFill="1" applyBorder="1" applyAlignment="1" applyProtection="1">
      <alignment vertical="center" shrinkToFit="1"/>
    </xf>
    <xf numFmtId="164" fontId="38" fillId="66" borderId="23" xfId="80" applyNumberFormat="1" applyFont="1" applyFill="1" applyBorder="1" applyAlignment="1" applyProtection="1">
      <alignment horizontal="right" vertical="center" shrinkToFit="1"/>
    </xf>
    <xf numFmtId="164" fontId="38" fillId="66" borderId="21" xfId="80" applyNumberFormat="1" applyFont="1" applyFill="1" applyBorder="1" applyAlignment="1" applyProtection="1">
      <alignment horizontal="right" vertical="center" shrinkToFit="1"/>
    </xf>
    <xf numFmtId="164" fontId="38" fillId="66" borderId="22" xfId="80" applyNumberFormat="1" applyFont="1" applyFill="1" applyBorder="1" applyAlignment="1" applyProtection="1">
      <alignment horizontal="right" vertical="center" shrinkToFit="1"/>
    </xf>
    <xf numFmtId="164" fontId="4" fillId="65" borderId="23" xfId="80" applyNumberFormat="1" applyFont="1" applyFill="1" applyBorder="1" applyAlignment="1" applyProtection="1">
      <alignment vertical="center" shrinkToFit="1"/>
    </xf>
    <xf numFmtId="164" fontId="4" fillId="65" borderId="21" xfId="80" applyNumberFormat="1" applyFont="1" applyFill="1" applyBorder="1" applyAlignment="1" applyProtection="1">
      <alignment vertical="center" shrinkToFit="1"/>
    </xf>
    <xf numFmtId="164" fontId="4" fillId="65" borderId="22" xfId="80" applyNumberFormat="1" applyFont="1" applyFill="1" applyBorder="1" applyAlignment="1" applyProtection="1">
      <alignment vertical="center" shrinkToFit="1"/>
    </xf>
    <xf numFmtId="164" fontId="4" fillId="61" borderId="22" xfId="80" applyNumberFormat="1" applyFont="1" applyFill="1" applyBorder="1" applyAlignment="1" applyProtection="1">
      <alignment horizontal="center" vertical="center" shrinkToFit="1"/>
    </xf>
    <xf numFmtId="164" fontId="4" fillId="0" borderId="23" xfId="80" applyNumberFormat="1" applyFont="1" applyFill="1" applyBorder="1" applyAlignment="1" applyProtection="1">
      <alignment horizontal="center" vertical="center" shrinkToFit="1"/>
    </xf>
    <xf numFmtId="164" fontId="4" fillId="0" borderId="21" xfId="80" applyNumberFormat="1" applyFont="1" applyFill="1" applyBorder="1" applyAlignment="1" applyProtection="1">
      <alignment horizontal="center" vertical="center" shrinkToFit="1"/>
    </xf>
    <xf numFmtId="164" fontId="4" fillId="0" borderId="22" xfId="80" applyNumberFormat="1" applyFont="1" applyFill="1" applyBorder="1" applyAlignment="1" applyProtection="1">
      <alignment horizontal="center" vertical="center" shrinkToFit="1"/>
    </xf>
    <xf numFmtId="164" fontId="39" fillId="66" borderId="23" xfId="80" applyNumberFormat="1" applyFont="1" applyFill="1" applyBorder="1" applyAlignment="1" applyProtection="1">
      <alignment vertical="center" shrinkToFit="1"/>
    </xf>
    <xf numFmtId="164" fontId="39" fillId="66" borderId="21" xfId="80" applyNumberFormat="1" applyFont="1" applyFill="1" applyBorder="1" applyAlignment="1" applyProtection="1">
      <alignment vertical="center" shrinkToFit="1"/>
    </xf>
    <xf numFmtId="164" fontId="39" fillId="66" borderId="22" xfId="80" applyNumberFormat="1" applyFont="1" applyFill="1" applyBorder="1" applyAlignment="1" applyProtection="1">
      <alignment vertical="center" shrinkToFit="1"/>
    </xf>
    <xf numFmtId="164" fontId="3" fillId="61" borderId="25" xfId="80" applyNumberFormat="1" applyFont="1" applyFill="1" applyBorder="1" applyAlignment="1" applyProtection="1">
      <alignment vertical="center" shrinkToFit="1"/>
    </xf>
    <xf numFmtId="164" fontId="3" fillId="65" borderId="26" xfId="80" applyNumberFormat="1" applyFont="1" applyFill="1" applyBorder="1" applyAlignment="1" applyProtection="1">
      <alignment vertical="center" shrinkToFit="1"/>
    </xf>
    <xf numFmtId="164" fontId="3" fillId="65" borderId="24" xfId="80" applyNumberFormat="1" applyFont="1" applyFill="1" applyBorder="1" applyAlignment="1" applyProtection="1">
      <alignment vertical="center" shrinkToFit="1"/>
    </xf>
    <xf numFmtId="164" fontId="3" fillId="65" borderId="25" xfId="80" applyNumberFormat="1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65" fillId="0" borderId="0" xfId="0" applyFont="1" applyBorder="1" applyAlignment="1" applyProtection="1">
      <alignment vertical="center" wrapText="1"/>
    </xf>
    <xf numFmtId="4" fontId="3" fillId="61" borderId="2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3" fillId="0" borderId="23" xfId="0" applyNumberFormat="1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63" fillId="0" borderId="22" xfId="0" applyNumberFormat="1" applyFont="1" applyFill="1" applyBorder="1" applyAlignment="1">
      <alignment horizontal="center" vertical="center"/>
    </xf>
    <xf numFmtId="164" fontId="63" fillId="0" borderId="23" xfId="0" applyNumberFormat="1" applyFont="1" applyFill="1" applyBorder="1" applyAlignment="1">
      <alignment horizontal="center" vertical="center"/>
    </xf>
    <xf numFmtId="164" fontId="63" fillId="0" borderId="21" xfId="0" applyNumberFormat="1" applyFont="1" applyFill="1" applyBorder="1" applyAlignment="1">
      <alignment horizontal="center" vertical="center"/>
    </xf>
    <xf numFmtId="164" fontId="63" fillId="0" borderId="22" xfId="0" applyNumberFormat="1" applyFont="1" applyFill="1" applyBorder="1" applyAlignment="1">
      <alignment horizontal="center" vertical="center"/>
    </xf>
    <xf numFmtId="49" fontId="31" fillId="60" borderId="27" xfId="80" applyNumberFormat="1" applyFont="1" applyFill="1" applyBorder="1" applyAlignment="1">
      <alignment horizontal="center" vertical="center"/>
    </xf>
    <xf numFmtId="49" fontId="31" fillId="60" borderId="30" xfId="80" applyNumberFormat="1" applyFont="1" applyFill="1" applyBorder="1" applyAlignment="1">
      <alignment horizontal="center" vertical="center"/>
    </xf>
    <xf numFmtId="0" fontId="66" fillId="0" borderId="28" xfId="0" applyFont="1" applyBorder="1" applyAlignment="1">
      <alignment horizontal="left" vertical="center" wrapText="1"/>
    </xf>
    <xf numFmtId="0" fontId="66" fillId="0" borderId="28" xfId="0" applyFont="1" applyBorder="1" applyAlignment="1">
      <alignment vertical="center" wrapText="1"/>
    </xf>
    <xf numFmtId="0" fontId="67" fillId="0" borderId="31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 wrapText="1" indent="1"/>
    </xf>
    <xf numFmtId="0" fontId="67" fillId="0" borderId="31" xfId="0" applyFont="1" applyBorder="1" applyAlignment="1">
      <alignment horizontal="left" vertical="center" wrapText="1" indent="2"/>
    </xf>
    <xf numFmtId="0" fontId="67" fillId="0" borderId="31" xfId="0" applyFont="1" applyBorder="1" applyAlignment="1">
      <alignment horizontal="left" vertical="center" wrapText="1" indent="3"/>
    </xf>
    <xf numFmtId="0" fontId="73" fillId="0" borderId="33" xfId="83" applyFont="1" applyBorder="1" applyAlignment="1">
      <alignment vertical="center"/>
    </xf>
    <xf numFmtId="0" fontId="73" fillId="0" borderId="30" xfId="83" applyFont="1" applyBorder="1" applyAlignment="1">
      <alignment vertical="center"/>
    </xf>
    <xf numFmtId="0" fontId="73" fillId="0" borderId="34" xfId="83" applyFont="1" applyBorder="1" applyAlignment="1">
      <alignment vertical="center"/>
    </xf>
    <xf numFmtId="0" fontId="73" fillId="0" borderId="31" xfId="83" applyFont="1" applyBorder="1" applyAlignment="1">
      <alignment vertical="center"/>
    </xf>
    <xf numFmtId="0" fontId="73" fillId="0" borderId="35" xfId="83" applyFont="1" applyBorder="1" applyAlignment="1">
      <alignment vertical="center"/>
    </xf>
    <xf numFmtId="0" fontId="73" fillId="0" borderId="39" xfId="83" applyFont="1" applyBorder="1" applyAlignment="1">
      <alignment vertical="center"/>
    </xf>
    <xf numFmtId="0" fontId="74" fillId="0" borderId="33" xfId="83" applyFont="1" applyBorder="1" applyAlignment="1">
      <alignment vertical="center"/>
    </xf>
    <xf numFmtId="0" fontId="74" fillId="0" borderId="30" xfId="83" applyFont="1" applyBorder="1" applyAlignment="1">
      <alignment vertical="center"/>
    </xf>
    <xf numFmtId="0" fontId="74" fillId="0" borderId="34" xfId="83" applyFont="1" applyBorder="1" applyAlignment="1">
      <alignment vertical="center"/>
    </xf>
    <xf numFmtId="0" fontId="74" fillId="0" borderId="31" xfId="83" applyFont="1" applyBorder="1" applyAlignment="1">
      <alignment vertical="center"/>
    </xf>
    <xf numFmtId="0" fontId="74" fillId="0" borderId="35" xfId="83" applyFont="1" applyBorder="1" applyAlignment="1">
      <alignment vertical="center"/>
    </xf>
    <xf numFmtId="0" fontId="74" fillId="0" borderId="39" xfId="83" applyFont="1" applyBorder="1" applyAlignment="1">
      <alignment vertical="center"/>
    </xf>
    <xf numFmtId="0" fontId="66" fillId="0" borderId="28" xfId="0" applyFont="1" applyBorder="1" applyAlignment="1" applyProtection="1">
      <alignment horizontal="left" vertical="center" wrapText="1" indent="2"/>
      <protection locked="0"/>
    </xf>
    <xf numFmtId="0" fontId="67" fillId="0" borderId="39" xfId="0" applyFont="1" applyBorder="1" applyAlignment="1">
      <alignment horizontal="left" vertical="center" wrapText="1" indent="1"/>
    </xf>
    <xf numFmtId="0" fontId="75" fillId="0" borderId="34" xfId="83" applyFont="1" applyBorder="1" applyAlignment="1">
      <alignment vertical="center"/>
    </xf>
    <xf numFmtId="0" fontId="76" fillId="0" borderId="34" xfId="83" applyFont="1" applyBorder="1" applyAlignment="1">
      <alignment vertical="center"/>
    </xf>
    <xf numFmtId="4" fontId="3" fillId="6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1" xfId="0" applyFont="1" applyBorder="1" applyAlignment="1">
      <alignment horizontal="left" vertical="center"/>
    </xf>
    <xf numFmtId="0" fontId="67" fillId="0" borderId="39" xfId="0" applyFont="1" applyBorder="1" applyAlignment="1">
      <alignment horizontal="left" vertical="center"/>
    </xf>
    <xf numFmtId="0" fontId="76" fillId="0" borderId="31" xfId="83" applyFont="1" applyBorder="1" applyAlignment="1">
      <alignment vertical="center"/>
    </xf>
    <xf numFmtId="0" fontId="75" fillId="0" borderId="31" xfId="83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0" fontId="3" fillId="61" borderId="15" xfId="0" applyNumberFormat="1" applyFont="1" applyFill="1" applyBorder="1" applyAlignment="1">
      <alignment horizontal="center" vertical="center"/>
    </xf>
    <xf numFmtId="10" fontId="3" fillId="61" borderId="16" xfId="0" applyNumberFormat="1" applyFont="1" applyFill="1" applyBorder="1" applyAlignment="1">
      <alignment horizontal="center" vertical="center"/>
    </xf>
    <xf numFmtId="10" fontId="3" fillId="61" borderId="17" xfId="0" applyNumberFormat="1" applyFont="1" applyFill="1" applyBorder="1" applyAlignment="1">
      <alignment horizontal="center" vertical="center"/>
    </xf>
    <xf numFmtId="10" fontId="3" fillId="61" borderId="20" xfId="0" applyNumberFormat="1" applyFont="1" applyFill="1" applyBorder="1" applyAlignment="1">
      <alignment horizontal="center" vertical="center"/>
    </xf>
    <xf numFmtId="10" fontId="3" fillId="61" borderId="24" xfId="0" applyNumberFormat="1" applyFont="1" applyFill="1" applyBorder="1" applyAlignment="1">
      <alignment horizontal="center" vertical="center"/>
    </xf>
    <xf numFmtId="10" fontId="3" fillId="61" borderId="25" xfId="0" applyNumberFormat="1" applyFont="1" applyFill="1" applyBorder="1" applyAlignment="1">
      <alignment horizontal="center" vertical="center"/>
    </xf>
    <xf numFmtId="165" fontId="4" fillId="61" borderId="15" xfId="0" applyNumberFormat="1" applyFont="1" applyFill="1" applyBorder="1" applyAlignment="1">
      <alignment horizontal="center" vertical="center"/>
    </xf>
    <xf numFmtId="165" fontId="3" fillId="61" borderId="19" xfId="0" applyNumberFormat="1" applyFont="1" applyFill="1" applyBorder="1" applyAlignment="1">
      <alignment horizontal="center" vertical="center"/>
    </xf>
    <xf numFmtId="165" fontId="3" fillId="61" borderId="19" xfId="0" applyNumberFormat="1" applyFont="1" applyFill="1" applyBorder="1" applyAlignment="1">
      <alignment horizontal="center" vertical="center" wrapText="1"/>
    </xf>
    <xf numFmtId="165" fontId="3" fillId="61" borderId="41" xfId="0" applyNumberFormat="1" applyFont="1" applyFill="1" applyBorder="1" applyAlignment="1">
      <alignment horizontal="center" vertical="center" wrapText="1"/>
    </xf>
    <xf numFmtId="165" fontId="4" fillId="61" borderId="19" xfId="0" applyNumberFormat="1" applyFont="1" applyFill="1" applyBorder="1" applyAlignment="1">
      <alignment horizontal="center" vertical="center"/>
    </xf>
    <xf numFmtId="165" fontId="3" fillId="61" borderId="20" xfId="0" applyNumberFormat="1" applyFont="1" applyFill="1" applyBorder="1" applyAlignment="1">
      <alignment horizontal="center" vertical="center" wrapText="1"/>
    </xf>
    <xf numFmtId="164" fontId="4" fillId="61" borderId="15" xfId="0" applyNumberFormat="1" applyFont="1" applyFill="1" applyBorder="1" applyAlignment="1">
      <alignment horizontal="center" vertical="center"/>
    </xf>
    <xf numFmtId="164" fontId="3" fillId="61" borderId="19" xfId="0" applyNumberFormat="1" applyFont="1" applyFill="1" applyBorder="1" applyAlignment="1">
      <alignment horizontal="center" vertical="center"/>
    </xf>
    <xf numFmtId="164" fontId="3" fillId="61" borderId="19" xfId="0" applyNumberFormat="1" applyFont="1" applyFill="1" applyBorder="1" applyAlignment="1">
      <alignment horizontal="center" vertical="center" wrapText="1"/>
    </xf>
    <xf numFmtId="164" fontId="3" fillId="61" borderId="20" xfId="0" applyNumberFormat="1" applyFont="1" applyFill="1" applyBorder="1" applyAlignment="1">
      <alignment horizontal="center" vertical="center" wrapText="1"/>
    </xf>
    <xf numFmtId="164" fontId="4" fillId="61" borderId="19" xfId="0" applyNumberFormat="1" applyFont="1" applyFill="1" applyBorder="1" applyAlignment="1">
      <alignment horizontal="center" vertical="center"/>
    </xf>
    <xf numFmtId="165" fontId="4" fillId="61" borderId="15" xfId="80" applyNumberFormat="1" applyFont="1" applyFill="1" applyBorder="1" applyAlignment="1">
      <alignment horizontal="center" vertical="center" wrapText="1"/>
    </xf>
    <xf numFmtId="165" fontId="3" fillId="61" borderId="19" xfId="80" applyNumberFormat="1" applyFont="1" applyFill="1" applyBorder="1" applyAlignment="1">
      <alignment horizontal="center" vertical="center" wrapText="1"/>
    </xf>
    <xf numFmtId="165" fontId="4" fillId="61" borderId="19" xfId="80" applyNumberFormat="1" applyFont="1" applyFill="1" applyBorder="1" applyAlignment="1">
      <alignment horizontal="center" vertical="center" wrapText="1"/>
    </xf>
    <xf numFmtId="165" fontId="4" fillId="61" borderId="20" xfId="80" applyNumberFormat="1" applyFont="1" applyFill="1" applyBorder="1" applyAlignment="1">
      <alignment horizontal="center" vertical="center" wrapText="1"/>
    </xf>
    <xf numFmtId="165" fontId="3" fillId="61" borderId="20" xfId="80" applyNumberFormat="1" applyFont="1" applyFill="1" applyBorder="1" applyAlignment="1">
      <alignment horizontal="center" vertical="center" wrapText="1"/>
    </xf>
    <xf numFmtId="165" fontId="3" fillId="61" borderId="15" xfId="80" applyNumberFormat="1" applyFont="1" applyFill="1" applyBorder="1" applyAlignment="1">
      <alignment horizontal="center" vertical="center" wrapText="1"/>
    </xf>
    <xf numFmtId="0" fontId="35" fillId="61" borderId="15" xfId="0" applyFont="1" applyFill="1" applyBorder="1" applyAlignment="1">
      <alignment horizontal="center" vertical="center" wrapText="1"/>
    </xf>
    <xf numFmtId="0" fontId="35" fillId="61" borderId="16" xfId="0" applyFont="1" applyFill="1" applyBorder="1" applyAlignment="1">
      <alignment horizontal="center" vertical="center" wrapText="1"/>
    </xf>
    <xf numFmtId="0" fontId="35" fillId="61" borderId="17" xfId="0" applyFont="1" applyFill="1" applyBorder="1" applyAlignment="1">
      <alignment horizontal="center" vertical="center" wrapText="1"/>
    </xf>
    <xf numFmtId="0" fontId="35" fillId="61" borderId="19" xfId="0" applyFont="1" applyFill="1" applyBorder="1" applyAlignment="1">
      <alignment horizontal="center" vertical="center" wrapText="1"/>
    </xf>
    <xf numFmtId="0" fontId="35" fillId="61" borderId="21" xfId="0" applyFont="1" applyFill="1" applyBorder="1" applyAlignment="1">
      <alignment horizontal="center" vertical="center" wrapText="1"/>
    </xf>
    <xf numFmtId="0" fontId="35" fillId="61" borderId="22" xfId="0" applyFont="1" applyFill="1" applyBorder="1" applyAlignment="1">
      <alignment horizontal="center" vertical="center" wrapText="1"/>
    </xf>
    <xf numFmtId="0" fontId="35" fillId="61" borderId="19" xfId="0" applyFont="1" applyFill="1" applyBorder="1" applyAlignment="1">
      <alignment horizontal="center" vertical="center"/>
    </xf>
    <xf numFmtId="0" fontId="35" fillId="61" borderId="20" xfId="0" applyFont="1" applyFill="1" applyBorder="1" applyAlignment="1">
      <alignment horizontal="center" vertical="center" wrapText="1"/>
    </xf>
    <xf numFmtId="0" fontId="35" fillId="61" borderId="24" xfId="0" applyFont="1" applyFill="1" applyBorder="1" applyAlignment="1">
      <alignment horizontal="center" vertical="center" wrapText="1"/>
    </xf>
    <xf numFmtId="0" fontId="35" fillId="61" borderId="25" xfId="0" applyFont="1" applyFill="1" applyBorder="1" applyAlignment="1">
      <alignment horizontal="center" vertical="center" wrapText="1"/>
    </xf>
    <xf numFmtId="4" fontId="3" fillId="61" borderId="21" xfId="0" applyNumberFormat="1" applyFont="1" applyFill="1" applyBorder="1" applyAlignment="1">
      <alignment horizontal="center" vertical="center"/>
    </xf>
    <xf numFmtId="4" fontId="3" fillId="61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88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6" fontId="3" fillId="61" borderId="19" xfId="80" applyNumberFormat="1" applyFont="1" applyFill="1" applyBorder="1" applyAlignment="1" applyProtection="1">
      <alignment horizontal="center" vertical="center" shrinkToFit="1"/>
    </xf>
    <xf numFmtId="166" fontId="3" fillId="61" borderId="21" xfId="80" applyNumberFormat="1" applyFont="1" applyFill="1" applyBorder="1" applyAlignment="1" applyProtection="1">
      <alignment horizontal="center" vertical="center" shrinkToFit="1"/>
    </xf>
    <xf numFmtId="166" fontId="3" fillId="61" borderId="22" xfId="80" applyNumberFormat="1" applyFont="1" applyFill="1" applyBorder="1" applyAlignment="1" applyProtection="1">
      <alignment horizontal="center" vertical="center" shrinkToFit="1"/>
    </xf>
    <xf numFmtId="164" fontId="8" fillId="0" borderId="0" xfId="0" applyNumberFormat="1" applyFont="1" applyBorder="1" applyAlignment="1" applyProtection="1">
      <alignment vertical="center"/>
    </xf>
    <xf numFmtId="0" fontId="77" fillId="0" borderId="0" xfId="0" applyNumberFormat="1" applyFont="1"/>
    <xf numFmtId="0" fontId="80" fillId="0" borderId="0" xfId="0" applyFont="1" applyAlignment="1">
      <alignment horizontal="left" wrapText="1"/>
    </xf>
    <xf numFmtId="0" fontId="0" fillId="0" borderId="0" xfId="0" applyAlignment="1"/>
    <xf numFmtId="0" fontId="31" fillId="0" borderId="40" xfId="0" applyFont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left" wrapText="1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81" fillId="0" borderId="0" xfId="106" applyFont="1" applyBorder="1" applyAlignment="1">
      <alignment horizontal="center" vertical="center" wrapText="1"/>
    </xf>
    <xf numFmtId="0" fontId="0" fillId="0" borderId="0" xfId="0" applyBorder="1" applyAlignment="1"/>
    <xf numFmtId="0" fontId="10" fillId="63" borderId="0" xfId="0" applyFont="1" applyFill="1" applyBorder="1" applyAlignment="1" applyProtection="1">
      <alignment horizontal="left" vertical="center"/>
      <protection locked="0"/>
    </xf>
    <xf numFmtId="0" fontId="10" fillId="66" borderId="0" xfId="0" applyFont="1" applyFill="1" applyBorder="1" applyAlignment="1" applyProtection="1">
      <alignment horizontal="left" vertical="center"/>
      <protection locked="0"/>
    </xf>
    <xf numFmtId="0" fontId="10" fillId="65" borderId="0" xfId="0" applyFont="1" applyFill="1" applyBorder="1" applyAlignment="1" applyProtection="1">
      <alignment horizontal="left" vertical="center"/>
      <protection locked="0"/>
    </xf>
    <xf numFmtId="0" fontId="78" fillId="0" borderId="0" xfId="0" applyNumberFormat="1" applyFont="1" applyAlignment="1">
      <alignment wrapText="1"/>
    </xf>
    <xf numFmtId="0" fontId="78" fillId="0" borderId="0" xfId="0" applyFont="1" applyAlignment="1">
      <alignment wrapText="1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_Prognoza i kredyty-tabele 2003" xfId="106"/>
    <cellStyle name="Obliczenia 2" xfId="84"/>
    <cellStyle name="Obliczenia 3" xfId="85"/>
    <cellStyle name="Procentowy" xfId="86" builtinId="5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Suma 2" xfId="94"/>
    <cellStyle name="Suma 3" xfId="95"/>
    <cellStyle name="Tekst objaśnienia 2" xfId="96"/>
    <cellStyle name="Tekst objaśnienia 3" xfId="97"/>
    <cellStyle name="Tekst ostrzeżenia 2" xfId="98"/>
    <cellStyle name="Tekst ostrzeżenia 3" xfId="99"/>
    <cellStyle name="Tytuł" xfId="100" builtinId="15" customBuiltin="1"/>
    <cellStyle name="Tytuł 2" xfId="101"/>
    <cellStyle name="Uwaga 2" xfId="102"/>
    <cellStyle name="Uwaga 3" xfId="103"/>
    <cellStyle name="Złe 2" xfId="104"/>
    <cellStyle name="Złe 3" xfId="105"/>
  </cellStyles>
  <dxfs count="31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Zał.1_WPF_bazowy!$D$13</c:f>
              <c:strCache>
                <c:ptCount val="1"/>
                <c:pt idx="0">
                  <c:v>Dochody majątkowe, w tym: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Zał.1_WPF_bazowy!$I$13:$R$13</c:f>
              <c:numCache>
                <c:formatCode>#,##0.00_ ;[Red]\-#,##0.00\ </c:formatCode>
                <c:ptCount val="10"/>
                <c:pt idx="0">
                  <c:v>2606760.25</c:v>
                </c:pt>
                <c:pt idx="1">
                  <c:v>3450344</c:v>
                </c:pt>
                <c:pt idx="2">
                  <c:v>300000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</c:numCache>
            </c:numRef>
          </c:val>
        </c:ser>
        <c:ser>
          <c:idx val="1"/>
          <c:order val="1"/>
          <c:tx>
            <c:strRef>
              <c:f>Zał.1_WPF_bazowy!$D$14</c:f>
              <c:strCache>
                <c:ptCount val="1"/>
                <c:pt idx="0">
                  <c:v>ze sprzedaży majątku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Zał.1_WPF_bazowy!$I$14:$S$14</c:f>
              <c:numCache>
                <c:formatCode>#,##0.00_ ;[Red]\-#,##0.00\ </c:formatCode>
                <c:ptCount val="11"/>
                <c:pt idx="0">
                  <c:v>1620000</c:v>
                </c:pt>
                <c:pt idx="1">
                  <c:v>300000</c:v>
                </c:pt>
                <c:pt idx="2">
                  <c:v>300000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  <c:pt idx="10">
                  <c:v>300000</c:v>
                </c:pt>
              </c:numCache>
            </c:numRef>
          </c:val>
        </c:ser>
        <c:marker val="1"/>
        <c:axId val="69311104"/>
        <c:axId val="69316992"/>
      </c:lineChart>
      <c:catAx>
        <c:axId val="6931110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16992"/>
        <c:crosses val="autoZero"/>
        <c:auto val="1"/>
        <c:lblAlgn val="ctr"/>
        <c:lblOffset val="100"/>
      </c:catAx>
      <c:valAx>
        <c:axId val="6931699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1110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Zał.1_WPF_bazowy!$D$39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Zał.1_WPF_bazowy!$I$39:$R$39</c:f>
              <c:numCache>
                <c:formatCode>#,##0.00_ ;[Red]\-#,##0.00\ </c:formatCode>
                <c:ptCount val="10"/>
                <c:pt idx="0">
                  <c:v>11607700</c:v>
                </c:pt>
                <c:pt idx="1">
                  <c:v>10540850</c:v>
                </c:pt>
                <c:pt idx="2">
                  <c:v>10431000</c:v>
                </c:pt>
                <c:pt idx="3">
                  <c:v>10031000</c:v>
                </c:pt>
                <c:pt idx="4">
                  <c:v>9431000</c:v>
                </c:pt>
                <c:pt idx="5">
                  <c:v>8831000</c:v>
                </c:pt>
                <c:pt idx="6">
                  <c:v>7631000</c:v>
                </c:pt>
                <c:pt idx="7">
                  <c:v>6331000</c:v>
                </c:pt>
                <c:pt idx="8">
                  <c:v>5131000</c:v>
                </c:pt>
                <c:pt idx="9">
                  <c:v>3801000</c:v>
                </c:pt>
              </c:numCache>
            </c:numRef>
          </c:val>
        </c:ser>
        <c:ser>
          <c:idx val="1"/>
          <c:order val="1"/>
          <c:tx>
            <c:strRef>
              <c:f>Zał.1_WPF_bazowy!$D$35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Zał.1_WPF_bazowy!$I$35:$R$35</c:f>
              <c:numCache>
                <c:formatCode>#,##0.00_ ;[Red]\-#,##0.00\ </c:formatCode>
                <c:ptCount val="10"/>
                <c:pt idx="0">
                  <c:v>2105000</c:v>
                </c:pt>
                <c:pt idx="1">
                  <c:v>1057000</c:v>
                </c:pt>
                <c:pt idx="2">
                  <c:v>100000</c:v>
                </c:pt>
                <c:pt idx="3">
                  <c:v>400000</c:v>
                </c:pt>
                <c:pt idx="4">
                  <c:v>600000</c:v>
                </c:pt>
                <c:pt idx="5">
                  <c:v>600000</c:v>
                </c:pt>
                <c:pt idx="6">
                  <c:v>1200000</c:v>
                </c:pt>
                <c:pt idx="7">
                  <c:v>1300000</c:v>
                </c:pt>
                <c:pt idx="8">
                  <c:v>1200000</c:v>
                </c:pt>
                <c:pt idx="9">
                  <c:v>1330000</c:v>
                </c:pt>
              </c:numCache>
            </c:numRef>
          </c:val>
        </c:ser>
        <c:ser>
          <c:idx val="0"/>
          <c:order val="2"/>
          <c:tx>
            <c:strRef>
              <c:f>Zał.1_WPF_bazowy!$D$21</c:f>
              <c:strCache>
                <c:ptCount val="1"/>
                <c:pt idx="0">
                  <c:v>wydatki na obsługę długu, w tym: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Zał.1_WPF_bazowy!$I$21:$R$21</c:f>
              <c:numCache>
                <c:formatCode>#,##0.00_ ;[Red]\-#,##0.00\ </c:formatCode>
                <c:ptCount val="10"/>
                <c:pt idx="0">
                  <c:v>769690</c:v>
                </c:pt>
                <c:pt idx="1">
                  <c:v>550000</c:v>
                </c:pt>
                <c:pt idx="2">
                  <c:v>645000</c:v>
                </c:pt>
                <c:pt idx="3">
                  <c:v>600000</c:v>
                </c:pt>
                <c:pt idx="4">
                  <c:v>557000</c:v>
                </c:pt>
                <c:pt idx="5">
                  <c:v>521000</c:v>
                </c:pt>
                <c:pt idx="6">
                  <c:v>485000</c:v>
                </c:pt>
                <c:pt idx="7">
                  <c:v>413000</c:v>
                </c:pt>
                <c:pt idx="8">
                  <c:v>335000</c:v>
                </c:pt>
                <c:pt idx="9">
                  <c:v>263000</c:v>
                </c:pt>
              </c:numCache>
            </c:numRef>
          </c:val>
        </c:ser>
        <c:marker val="1"/>
        <c:axId val="83993344"/>
        <c:axId val="83994880"/>
      </c:lineChart>
      <c:catAx>
        <c:axId val="8399334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3994880"/>
        <c:crosses val="autoZero"/>
        <c:auto val="1"/>
        <c:lblAlgn val="ctr"/>
        <c:lblOffset val="100"/>
      </c:catAx>
      <c:valAx>
        <c:axId val="8399488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399334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0"/>
          <c:order val="0"/>
          <c:tx>
            <c:strRef>
              <c:f>Zał.1_WPF_bazowy!$D$43</c:f>
              <c:strCache>
                <c:ptCount val="1"/>
                <c:pt idx="0">
                  <c:v>Wskaźnik zadłużenia do dochodów ogółem, o którym mowa w art. 170 ufp z 2005 r., po uwzględnieniu wyłączeń określonych w pkt 6.1. 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Zał.1_WPF_bazowy!$I$43:$R$43</c:f>
              <c:numCache>
                <c:formatCode>0.00%;[Red]\-0.00%</c:formatCode>
                <c:ptCount val="10"/>
                <c:pt idx="0">
                  <c:v>0.4723</c:v>
                </c:pt>
                <c:pt idx="1">
                  <c:v>0.52049999999999996</c:v>
                </c:pt>
                <c:pt idx="2">
                  <c:v>0.5927</c:v>
                </c:pt>
                <c:pt idx="3">
                  <c:v>0.55900000000000005</c:v>
                </c:pt>
                <c:pt idx="4">
                  <c:v>0.5171</c:v>
                </c:pt>
                <c:pt idx="5">
                  <c:v>0.47620000000000001</c:v>
                </c:pt>
                <c:pt idx="6">
                  <c:v>0.40660000000000002</c:v>
                </c:pt>
                <c:pt idx="7">
                  <c:v>0.33660000000000001</c:v>
                </c:pt>
                <c:pt idx="8">
                  <c:v>0.26500000000000001</c:v>
                </c:pt>
                <c:pt idx="9">
                  <c:v>0.19070000000000001</c:v>
                </c:pt>
              </c:numCache>
            </c:numRef>
          </c:val>
        </c:ser>
        <c:marker val="1"/>
        <c:axId val="84092800"/>
        <c:axId val="84094336"/>
      </c:lineChart>
      <c:catAx>
        <c:axId val="8409280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094336"/>
        <c:crosses val="autoZero"/>
        <c:auto val="1"/>
        <c:lblAlgn val="ctr"/>
        <c:lblOffset val="100"/>
      </c:catAx>
      <c:valAx>
        <c:axId val="8409433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092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374890638670174E-2"/>
          <c:y val="2.7777777777777801E-2"/>
          <c:w val="0.9"/>
          <c:h val="0.12233158355205599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Zał.1_WPF_bazowy!$D$6</c:f>
              <c:strCache>
                <c:ptCount val="1"/>
                <c:pt idx="0">
                  <c:v>Dochody bieżące, w tym:</c:v>
                </c:pt>
              </c:strCache>
            </c:strRef>
          </c:tx>
          <c:marker>
            <c:symbol val="none"/>
          </c:marker>
          <c:cat>
            <c:numRef>
              <c:f>(Zał.1_WPF_bazowy!$E$4:$F$4,Zał.1_WPF_bazowy!$H$4:$R$4)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(Zał.1_WPF_bazowy!$E$6:$F$6,Zał.1_WPF_bazowy!$H$6:$R$6)</c:f>
              <c:numCache>
                <c:formatCode>#,##0.00_ ;[Red]\-#,##0.00\ </c:formatCode>
                <c:ptCount val="10"/>
                <c:pt idx="0">
                  <c:v>16467129.5</c:v>
                </c:pt>
                <c:pt idx="1">
                  <c:v>16800000</c:v>
                </c:pt>
                <c:pt idx="2">
                  <c:v>17300000</c:v>
                </c:pt>
                <c:pt idx="3">
                  <c:v>17643950</c:v>
                </c:pt>
                <c:pt idx="4">
                  <c:v>17937269</c:v>
                </c:pt>
                <c:pt idx="5">
                  <c:v>18245387</c:v>
                </c:pt>
                <c:pt idx="6">
                  <c:v>18468748</c:v>
                </c:pt>
                <c:pt idx="7">
                  <c:v>18507811</c:v>
                </c:pt>
                <c:pt idx="8">
                  <c:v>19063045</c:v>
                </c:pt>
                <c:pt idx="9">
                  <c:v>19634936</c:v>
                </c:pt>
              </c:numCache>
            </c:numRef>
          </c:val>
        </c:ser>
        <c:ser>
          <c:idx val="1"/>
          <c:order val="1"/>
          <c:tx>
            <c:strRef>
              <c:f>Zał.1_WPF_bazowy!$D$17</c:f>
              <c:strCache>
                <c:ptCount val="1"/>
                <c:pt idx="0">
                  <c:v>Wydatki bieżące, w tym:</c:v>
                </c:pt>
              </c:strCache>
            </c:strRef>
          </c:tx>
          <c:marker>
            <c:symbol val="none"/>
          </c:marker>
          <c:cat>
            <c:numRef>
              <c:f>(Zał.1_WPF_bazowy!$E$4:$F$4,Zał.1_WPF_bazowy!$H$4:$R$4)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(Zał.1_WPF_bazowy!$E$17:$F$17,Zał.1_WPF_bazowy!$H$17:$R$17)</c:f>
              <c:numCache>
                <c:formatCode>#,##0.00_ ;[Red]\-#,##0.00\ </c:formatCode>
                <c:ptCount val="10"/>
                <c:pt idx="0">
                  <c:v>16881117.5</c:v>
                </c:pt>
                <c:pt idx="1">
                  <c:v>16272983</c:v>
                </c:pt>
                <c:pt idx="2">
                  <c:v>16273673</c:v>
                </c:pt>
                <c:pt idx="3">
                  <c:v>16346533</c:v>
                </c:pt>
                <c:pt idx="4">
                  <c:v>16533929</c:v>
                </c:pt>
                <c:pt idx="5">
                  <c:v>16741237</c:v>
                </c:pt>
                <c:pt idx="6">
                  <c:v>17061844</c:v>
                </c:pt>
                <c:pt idx="7">
                  <c:v>17260149</c:v>
                </c:pt>
                <c:pt idx="8">
                  <c:v>16966564</c:v>
                </c:pt>
                <c:pt idx="9">
                  <c:v>17393510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84554112"/>
        <c:axId val="84555648"/>
      </c:lineChart>
      <c:catAx>
        <c:axId val="8455411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555648"/>
        <c:crosses val="autoZero"/>
        <c:auto val="1"/>
        <c:lblAlgn val="ctr"/>
        <c:lblOffset val="100"/>
      </c:catAx>
      <c:valAx>
        <c:axId val="8455564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55411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Zał.1_WPF_bazowy!$D$56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plan 3 kwartał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Zał.1_WPF_bazowy!$I$56:$R$56</c:f>
              <c:numCache>
                <c:formatCode>0.00%;[Red]\-0.00%</c:formatCode>
                <c:ptCount val="10"/>
                <c:pt idx="0">
                  <c:v>-9.5999999999999992E-3</c:v>
                </c:pt>
                <c:pt idx="1">
                  <c:v>2.7E-2</c:v>
                </c:pt>
                <c:pt idx="2">
                  <c:v>3.7699999999999997E-2</c:v>
                </c:pt>
                <c:pt idx="3">
                  <c:v>5.9799999999999999E-2</c:v>
                </c:pt>
                <c:pt idx="4">
                  <c:v>6.8400000000000002E-2</c:v>
                </c:pt>
                <c:pt idx="5">
                  <c:v>8.5900000000000004E-2</c:v>
                </c:pt>
                <c:pt idx="6">
                  <c:v>9.3200000000000005E-2</c:v>
                </c:pt>
                <c:pt idx="7">
                  <c:v>9.3899999999999997E-2</c:v>
                </c:pt>
                <c:pt idx="8">
                  <c:v>9.0200000000000002E-2</c:v>
                </c:pt>
                <c:pt idx="9">
                  <c:v>9.9000000000000005E-2</c:v>
                </c:pt>
              </c:numCache>
            </c:numRef>
          </c:val>
        </c:ser>
        <c:ser>
          <c:idx val="1"/>
          <c:order val="1"/>
          <c:tx>
            <c:strRef>
              <c:f>Zał.1_WPF_bazowy!$D$54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Zał.1_WPF_bazowy!$I$54:$R$54</c:f>
              <c:numCache>
                <c:formatCode>0.00%;[Red]\-0.00%</c:formatCode>
                <c:ptCount val="10"/>
                <c:pt idx="0">
                  <c:v>0.126</c:v>
                </c:pt>
                <c:pt idx="1">
                  <c:v>2.7199999999999998E-2</c:v>
                </c:pt>
                <c:pt idx="2">
                  <c:v>4.2299999999999997E-2</c:v>
                </c:pt>
                <c:pt idx="3">
                  <c:v>5.57E-2</c:v>
                </c:pt>
                <c:pt idx="4">
                  <c:v>6.3399999999999998E-2</c:v>
                </c:pt>
                <c:pt idx="5">
                  <c:v>6.0400000000000002E-2</c:v>
                </c:pt>
                <c:pt idx="6">
                  <c:v>8.9800000000000005E-2</c:v>
                </c:pt>
                <c:pt idx="7">
                  <c:v>9.11E-2</c:v>
                </c:pt>
                <c:pt idx="8">
                  <c:v>7.9299999999999995E-2</c:v>
                </c:pt>
                <c:pt idx="9">
                  <c:v>7.9899999999999999E-2</c:v>
                </c:pt>
              </c:numCache>
            </c:numRef>
          </c:val>
        </c:ser>
        <c:marker val="1"/>
        <c:axId val="84592896"/>
        <c:axId val="84598784"/>
      </c:lineChart>
      <c:catAx>
        <c:axId val="8459289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598784"/>
        <c:crosses val="autoZero"/>
        <c:auto val="1"/>
        <c:lblAlgn val="ctr"/>
        <c:lblOffset val="100"/>
      </c:catAx>
      <c:valAx>
        <c:axId val="8459878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5928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0284558180227453E-2"/>
          <c:y val="2.7777777777777801E-2"/>
          <c:w val="0.8794306649168856"/>
          <c:h val="0.1979108340624089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Zał.1_WPF_bazowy!$D$57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wykonanie roku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Zał.1_WPF_bazowy!$I$57:$R$57</c:f>
              <c:numCache>
                <c:formatCode>0.00%;[Red]\-0.00%</c:formatCode>
                <c:ptCount val="10"/>
                <c:pt idx="0">
                  <c:v>1E-4</c:v>
                </c:pt>
                <c:pt idx="1">
                  <c:v>3.6700000000000003E-2</c:v>
                </c:pt>
                <c:pt idx="2">
                  <c:v>4.7399999999999998E-2</c:v>
                </c:pt>
                <c:pt idx="3">
                  <c:v>5.9799999999999999E-2</c:v>
                </c:pt>
                <c:pt idx="4">
                  <c:v>6.8400000000000002E-2</c:v>
                </c:pt>
                <c:pt idx="5">
                  <c:v>8.5900000000000004E-2</c:v>
                </c:pt>
                <c:pt idx="6">
                  <c:v>9.3200000000000005E-2</c:v>
                </c:pt>
                <c:pt idx="7">
                  <c:v>9.3899999999999997E-2</c:v>
                </c:pt>
                <c:pt idx="8">
                  <c:v>9.0200000000000002E-2</c:v>
                </c:pt>
                <c:pt idx="9">
                  <c:v>9.9000000000000005E-2</c:v>
                </c:pt>
              </c:numCache>
            </c:numRef>
          </c:val>
        </c:ser>
        <c:ser>
          <c:idx val="1"/>
          <c:order val="1"/>
          <c:tx>
            <c:strRef>
              <c:f>Zał.1_WPF_bazowy!$D$51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Zał.1_WPF_bazowy!$I$51:$R$51</c:f>
              <c:numCache>
                <c:formatCode>0.00%;[Red]\-0.00%</c:formatCode>
                <c:ptCount val="10"/>
                <c:pt idx="0">
                  <c:v>0.1502</c:v>
                </c:pt>
                <c:pt idx="1">
                  <c:v>7.9399999999999998E-2</c:v>
                </c:pt>
                <c:pt idx="2">
                  <c:v>4.2299999999999997E-2</c:v>
                </c:pt>
                <c:pt idx="3">
                  <c:v>5.57E-2</c:v>
                </c:pt>
                <c:pt idx="4">
                  <c:v>6.3399999999999998E-2</c:v>
                </c:pt>
                <c:pt idx="5">
                  <c:v>6.0400000000000002E-2</c:v>
                </c:pt>
                <c:pt idx="6">
                  <c:v>8.9800000000000005E-2</c:v>
                </c:pt>
                <c:pt idx="7">
                  <c:v>9.11E-2</c:v>
                </c:pt>
                <c:pt idx="8">
                  <c:v>7.9299999999999995E-2</c:v>
                </c:pt>
                <c:pt idx="9">
                  <c:v>7.9899999999999999E-2</c:v>
                </c:pt>
              </c:numCache>
            </c:numRef>
          </c:val>
        </c:ser>
        <c:marker val="1"/>
        <c:axId val="84622720"/>
        <c:axId val="84632704"/>
      </c:lineChart>
      <c:catAx>
        <c:axId val="8462272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632704"/>
        <c:crosses val="autoZero"/>
        <c:auto val="1"/>
        <c:lblAlgn val="ctr"/>
        <c:lblOffset val="100"/>
      </c:catAx>
      <c:valAx>
        <c:axId val="8463270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6227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0284558180227453E-2"/>
          <c:y val="2.7777777777777801E-2"/>
          <c:w val="0.8794306649168856"/>
          <c:h val="0.1979108340624089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Zał.1_WPF_bazowy!$D$57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wykonanie roku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Zał.1_WPF_bazowy!$I$57:$R$57</c:f>
              <c:numCache>
                <c:formatCode>0.00%;[Red]\-0.00%</c:formatCode>
                <c:ptCount val="10"/>
                <c:pt idx="0">
                  <c:v>1E-4</c:v>
                </c:pt>
                <c:pt idx="1">
                  <c:v>3.6700000000000003E-2</c:v>
                </c:pt>
                <c:pt idx="2">
                  <c:v>4.7399999999999998E-2</c:v>
                </c:pt>
                <c:pt idx="3">
                  <c:v>5.9799999999999999E-2</c:v>
                </c:pt>
                <c:pt idx="4">
                  <c:v>6.8400000000000002E-2</c:v>
                </c:pt>
                <c:pt idx="5">
                  <c:v>8.5900000000000004E-2</c:v>
                </c:pt>
                <c:pt idx="6">
                  <c:v>9.3200000000000005E-2</c:v>
                </c:pt>
                <c:pt idx="7">
                  <c:v>9.3899999999999997E-2</c:v>
                </c:pt>
                <c:pt idx="8">
                  <c:v>9.0200000000000002E-2</c:v>
                </c:pt>
                <c:pt idx="9">
                  <c:v>9.9000000000000005E-2</c:v>
                </c:pt>
              </c:numCache>
            </c:numRef>
          </c:val>
        </c:ser>
        <c:ser>
          <c:idx val="1"/>
          <c:order val="1"/>
          <c:tx>
            <c:strRef>
              <c:f>Zał.1_WPF_bazowy!$D$54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Zał.1_WPF_bazowy!$I$54:$R$54</c:f>
              <c:numCache>
                <c:formatCode>0.00%;[Red]\-0.00%</c:formatCode>
                <c:ptCount val="10"/>
                <c:pt idx="0">
                  <c:v>0.126</c:v>
                </c:pt>
                <c:pt idx="1">
                  <c:v>2.7199999999999998E-2</c:v>
                </c:pt>
                <c:pt idx="2">
                  <c:v>4.2299999999999997E-2</c:v>
                </c:pt>
                <c:pt idx="3">
                  <c:v>5.57E-2</c:v>
                </c:pt>
                <c:pt idx="4">
                  <c:v>6.3399999999999998E-2</c:v>
                </c:pt>
                <c:pt idx="5">
                  <c:v>6.0400000000000002E-2</c:v>
                </c:pt>
                <c:pt idx="6">
                  <c:v>8.9800000000000005E-2</c:v>
                </c:pt>
                <c:pt idx="7">
                  <c:v>9.11E-2</c:v>
                </c:pt>
                <c:pt idx="8">
                  <c:v>7.9299999999999995E-2</c:v>
                </c:pt>
                <c:pt idx="9">
                  <c:v>7.9899999999999999E-2</c:v>
                </c:pt>
              </c:numCache>
            </c:numRef>
          </c:val>
        </c:ser>
        <c:marker val="1"/>
        <c:axId val="84698624"/>
        <c:axId val="84700160"/>
      </c:lineChart>
      <c:catAx>
        <c:axId val="8469862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700160"/>
        <c:crosses val="autoZero"/>
        <c:auto val="1"/>
        <c:lblAlgn val="ctr"/>
        <c:lblOffset val="100"/>
      </c:catAx>
      <c:valAx>
        <c:axId val="8470016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698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0284558180227453E-2"/>
          <c:y val="2.7777777777777801E-2"/>
          <c:w val="0.8794306649168856"/>
          <c:h val="0.1979108340624089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Zał.1_WPF_bazowy!$D$50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Zał.1_WPF_bazowy!$I$50:$R$50</c:f>
              <c:numCache>
                <c:formatCode>0.00%;[Red]\-0.00%</c:formatCode>
                <c:ptCount val="10"/>
                <c:pt idx="0">
                  <c:v>0.126</c:v>
                </c:pt>
                <c:pt idx="1">
                  <c:v>2.7199999999999998E-2</c:v>
                </c:pt>
                <c:pt idx="2">
                  <c:v>4.2299999999999997E-2</c:v>
                </c:pt>
                <c:pt idx="3">
                  <c:v>5.57E-2</c:v>
                </c:pt>
                <c:pt idx="4">
                  <c:v>6.3399999999999998E-2</c:v>
                </c:pt>
                <c:pt idx="5">
                  <c:v>6.0400000000000002E-2</c:v>
                </c:pt>
                <c:pt idx="6">
                  <c:v>8.9800000000000005E-2</c:v>
                </c:pt>
                <c:pt idx="7">
                  <c:v>9.11E-2</c:v>
                </c:pt>
                <c:pt idx="8">
                  <c:v>7.9299999999999995E-2</c:v>
                </c:pt>
                <c:pt idx="9">
                  <c:v>7.9899999999999999E-2</c:v>
                </c:pt>
              </c:numCache>
            </c:numRef>
          </c:val>
        </c:ser>
        <c:marker val="1"/>
        <c:axId val="84723968"/>
        <c:axId val="84746240"/>
      </c:lineChart>
      <c:catAx>
        <c:axId val="8472396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746240"/>
        <c:crosses val="autoZero"/>
        <c:auto val="1"/>
        <c:lblAlgn val="ctr"/>
        <c:lblOffset val="100"/>
      </c:catAx>
      <c:valAx>
        <c:axId val="8474624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723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9972222222222239E-2"/>
          <c:y val="2.7777777777777801E-2"/>
          <c:w val="0.8800555555555557"/>
          <c:h val="0.22105898221055698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Zał.1_WPF_bazowy!$D$6</c:f>
              <c:strCache>
                <c:ptCount val="1"/>
                <c:pt idx="0">
                  <c:v>Dochody bieżące, w tym:</c:v>
                </c:pt>
              </c:strCache>
            </c:strRef>
          </c:tx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Zał.1_WPF_bazowy!$I$6:$R$6</c:f>
              <c:numCache>
                <c:formatCode>#,##0.00_ ;[Red]\-#,##0.00\ </c:formatCode>
                <c:ptCount val="10"/>
                <c:pt idx="0">
                  <c:v>16467129.5</c:v>
                </c:pt>
                <c:pt idx="1">
                  <c:v>16800000</c:v>
                </c:pt>
                <c:pt idx="2">
                  <c:v>17300000</c:v>
                </c:pt>
                <c:pt idx="3">
                  <c:v>17643950</c:v>
                </c:pt>
                <c:pt idx="4">
                  <c:v>17937269</c:v>
                </c:pt>
                <c:pt idx="5">
                  <c:v>18245387</c:v>
                </c:pt>
                <c:pt idx="6">
                  <c:v>18468748</c:v>
                </c:pt>
                <c:pt idx="7">
                  <c:v>18507811</c:v>
                </c:pt>
                <c:pt idx="8">
                  <c:v>19063045</c:v>
                </c:pt>
                <c:pt idx="9">
                  <c:v>19634936</c:v>
                </c:pt>
              </c:numCache>
            </c:numRef>
          </c:val>
        </c:ser>
        <c:ser>
          <c:idx val="1"/>
          <c:order val="1"/>
          <c:tx>
            <c:strRef>
              <c:f>Zał.1_WPF_bazowy!$D$13</c:f>
              <c:strCache>
                <c:ptCount val="1"/>
                <c:pt idx="0">
                  <c:v>Dochody majątkowe, w tym:</c:v>
                </c:pt>
              </c:strCache>
            </c:strRef>
          </c:tx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Zał.1_WPF_bazowy!$I$13:$R$13</c:f>
              <c:numCache>
                <c:formatCode>#,##0.00_ ;[Red]\-#,##0.00\ </c:formatCode>
                <c:ptCount val="10"/>
                <c:pt idx="0">
                  <c:v>2606760.25</c:v>
                </c:pt>
                <c:pt idx="1">
                  <c:v>3450344</c:v>
                </c:pt>
                <c:pt idx="2">
                  <c:v>300000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</c:numCache>
            </c:numRef>
          </c:val>
        </c:ser>
        <c:overlap val="100"/>
        <c:axId val="69346048"/>
        <c:axId val="69347584"/>
      </c:barChart>
      <c:catAx>
        <c:axId val="6934604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47584"/>
        <c:crosses val="autoZero"/>
        <c:auto val="1"/>
        <c:lblAlgn val="ctr"/>
        <c:lblOffset val="100"/>
      </c:catAx>
      <c:valAx>
        <c:axId val="69347584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460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Zał.1_WPF_bazowy!$D$17</c:f>
              <c:strCache>
                <c:ptCount val="1"/>
                <c:pt idx="0">
                  <c:v>Wydatki bieżące, w tym:</c:v>
                </c:pt>
              </c:strCache>
            </c:strRef>
          </c:tx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Zał.1_WPF_bazowy!$I$17:$R$17</c:f>
              <c:numCache>
                <c:formatCode>#,##0.00_ ;[Red]\-#,##0.00\ </c:formatCode>
                <c:ptCount val="10"/>
                <c:pt idx="0">
                  <c:v>16881117.5</c:v>
                </c:pt>
                <c:pt idx="1">
                  <c:v>16272983</c:v>
                </c:pt>
                <c:pt idx="2">
                  <c:v>16273673</c:v>
                </c:pt>
                <c:pt idx="3">
                  <c:v>16346533</c:v>
                </c:pt>
                <c:pt idx="4">
                  <c:v>16533929</c:v>
                </c:pt>
                <c:pt idx="5">
                  <c:v>16741237</c:v>
                </c:pt>
                <c:pt idx="6">
                  <c:v>17061844</c:v>
                </c:pt>
                <c:pt idx="7">
                  <c:v>17260149</c:v>
                </c:pt>
                <c:pt idx="8">
                  <c:v>16966564</c:v>
                </c:pt>
                <c:pt idx="9">
                  <c:v>17393510</c:v>
                </c:pt>
              </c:numCache>
            </c:numRef>
          </c:val>
        </c:ser>
        <c:ser>
          <c:idx val="1"/>
          <c:order val="1"/>
          <c:tx>
            <c:strRef>
              <c:f>Zał.1_WPF_bazowy!$D$23</c:f>
              <c:strCache>
                <c:ptCount val="1"/>
                <c:pt idx="0">
                  <c:v>Wydatki majątkowe</c:v>
                </c:pt>
              </c:strCache>
            </c:strRef>
          </c:tx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Zał.1_WPF_bazowy!$I$23:$R$23</c:f>
              <c:numCache>
                <c:formatCode>#,##0.00_ ;[Red]\-#,##0.00\ </c:formatCode>
                <c:ptCount val="10"/>
                <c:pt idx="0">
                  <c:v>3439772.25</c:v>
                </c:pt>
                <c:pt idx="1">
                  <c:v>2920361</c:v>
                </c:pt>
                <c:pt idx="2">
                  <c:v>1226327</c:v>
                </c:pt>
                <c:pt idx="3">
                  <c:v>1197417</c:v>
                </c:pt>
                <c:pt idx="4">
                  <c:v>1103340</c:v>
                </c:pt>
                <c:pt idx="5">
                  <c:v>1204150</c:v>
                </c:pt>
                <c:pt idx="6">
                  <c:v>506904</c:v>
                </c:pt>
                <c:pt idx="7">
                  <c:v>247662</c:v>
                </c:pt>
                <c:pt idx="8">
                  <c:v>1196481</c:v>
                </c:pt>
                <c:pt idx="9">
                  <c:v>1211426</c:v>
                </c:pt>
              </c:numCache>
            </c:numRef>
          </c:val>
        </c:ser>
        <c:overlap val="100"/>
        <c:axId val="69360256"/>
        <c:axId val="69362048"/>
      </c:barChart>
      <c:catAx>
        <c:axId val="693602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62048"/>
        <c:crosses val="autoZero"/>
        <c:auto val="1"/>
        <c:lblAlgn val="ctr"/>
        <c:lblOffset val="100"/>
      </c:catAx>
      <c:valAx>
        <c:axId val="6936204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6025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Zał.1_WPF_bazowy!$D$63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Zał.1_WPF_bazowy!$I$63:$R$63</c:f>
              <c:numCache>
                <c:formatCode>#,##0.00_ ;[Red]\-#,##0.00\ </c:formatCode>
                <c:ptCount val="10"/>
                <c:pt idx="0">
                  <c:v>6782288.0599999996</c:v>
                </c:pt>
                <c:pt idx="1">
                  <c:v>6758808</c:v>
                </c:pt>
                <c:pt idx="2">
                  <c:v>6961573</c:v>
                </c:pt>
                <c:pt idx="3">
                  <c:v>7170420</c:v>
                </c:pt>
                <c:pt idx="4">
                  <c:v>7385532</c:v>
                </c:pt>
                <c:pt idx="5">
                  <c:v>7607098</c:v>
                </c:pt>
                <c:pt idx="6">
                  <c:v>7835311</c:v>
                </c:pt>
                <c:pt idx="7">
                  <c:v>8070371</c:v>
                </c:pt>
                <c:pt idx="8">
                  <c:v>8312482</c:v>
                </c:pt>
                <c:pt idx="9">
                  <c:v>8561856</c:v>
                </c:pt>
              </c:numCache>
            </c:numRef>
          </c:val>
        </c:ser>
        <c:ser>
          <c:idx val="1"/>
          <c:order val="1"/>
          <c:tx>
            <c:strRef>
              <c:f>Zał.1_WPF_bazowy!$D$64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Zał.1_WPF_bazowy!$I$64:$R$64</c:f>
              <c:numCache>
                <c:formatCode>#,##0.00_ ;[Red]\-#,##0.00\ </c:formatCode>
                <c:ptCount val="10"/>
                <c:pt idx="0">
                  <c:v>3184091</c:v>
                </c:pt>
                <c:pt idx="1">
                  <c:v>3200000</c:v>
                </c:pt>
                <c:pt idx="2">
                  <c:v>3250000</c:v>
                </c:pt>
                <c:pt idx="3">
                  <c:v>3300000</c:v>
                </c:pt>
                <c:pt idx="4">
                  <c:v>3400000</c:v>
                </c:pt>
                <c:pt idx="5">
                  <c:v>3500000</c:v>
                </c:pt>
                <c:pt idx="6">
                  <c:v>3600000</c:v>
                </c:pt>
                <c:pt idx="7">
                  <c:v>3700000</c:v>
                </c:pt>
                <c:pt idx="8">
                  <c:v>3800000</c:v>
                </c:pt>
                <c:pt idx="9">
                  <c:v>3900000</c:v>
                </c:pt>
              </c:numCache>
            </c:numRef>
          </c:val>
        </c:ser>
        <c:marker val="1"/>
        <c:axId val="69391104"/>
        <c:axId val="69392640"/>
      </c:lineChart>
      <c:catAx>
        <c:axId val="6939110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92640"/>
        <c:crosses val="autoZero"/>
        <c:auto val="1"/>
        <c:lblAlgn val="ctr"/>
        <c:lblOffset val="100"/>
      </c:catAx>
      <c:valAx>
        <c:axId val="6939264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39110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Wydatki na przedsięwzięcia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Zał.1_WPF_bazowy!$D$66</c:f>
              <c:strCache>
                <c:ptCount val="1"/>
                <c:pt idx="0">
                  <c:v>bieżące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Zał.1_WPF_bazowy!$I$66:$R$66</c:f>
              <c:numCache>
                <c:formatCode>#,##0.00_ ;[Red]\-#,##0.00\ </c:formatCode>
                <c:ptCount val="10"/>
                <c:pt idx="0">
                  <c:v>220152</c:v>
                </c:pt>
                <c:pt idx="1">
                  <c:v>26738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Zał.1_WPF_bazowy!$D$67</c:f>
              <c:strCache>
                <c:ptCount val="1"/>
                <c:pt idx="0">
                  <c:v>majątkowe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Zał.1_WPF_bazowy!$I$67:$R$67</c:f>
              <c:numCache>
                <c:formatCode>#,##0.00_ ;[Red]\-#,##0.00\ </c:formatCode>
                <c:ptCount val="10"/>
                <c:pt idx="0">
                  <c:v>2925561</c:v>
                </c:pt>
                <c:pt idx="1">
                  <c:v>1933304</c:v>
                </c:pt>
                <c:pt idx="2">
                  <c:v>10456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69409408"/>
        <c:axId val="69435776"/>
      </c:lineChart>
      <c:catAx>
        <c:axId val="6940940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435776"/>
        <c:crosses val="autoZero"/>
        <c:auto val="1"/>
        <c:lblAlgn val="ctr"/>
        <c:lblOffset val="100"/>
      </c:catAx>
      <c:valAx>
        <c:axId val="6943577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40940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Zał.1_WPF_bazowy!$D$35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Zał.1_WPF_bazowy!$I$35:$R$35</c:f>
              <c:numCache>
                <c:formatCode>#,##0.00_ ;[Red]\-#,##0.00\ </c:formatCode>
                <c:ptCount val="10"/>
                <c:pt idx="0">
                  <c:v>2105000</c:v>
                </c:pt>
                <c:pt idx="1">
                  <c:v>1057000</c:v>
                </c:pt>
                <c:pt idx="2">
                  <c:v>100000</c:v>
                </c:pt>
                <c:pt idx="3">
                  <c:v>400000</c:v>
                </c:pt>
                <c:pt idx="4">
                  <c:v>600000</c:v>
                </c:pt>
                <c:pt idx="5">
                  <c:v>600000</c:v>
                </c:pt>
                <c:pt idx="6">
                  <c:v>1200000</c:v>
                </c:pt>
                <c:pt idx="7">
                  <c:v>1300000</c:v>
                </c:pt>
                <c:pt idx="8">
                  <c:v>1200000</c:v>
                </c:pt>
                <c:pt idx="9">
                  <c:v>1330000</c:v>
                </c:pt>
              </c:numCache>
            </c:numRef>
          </c:val>
        </c:ser>
        <c:ser>
          <c:idx val="0"/>
          <c:order val="2"/>
          <c:tx>
            <c:strRef>
              <c:f>Zał.1_WPF_bazowy!$D$23</c:f>
              <c:strCache>
                <c:ptCount val="1"/>
                <c:pt idx="0">
                  <c:v>Wydatki majątkowe</c:v>
                </c:pt>
              </c:strCache>
            </c:strRef>
          </c:tx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Zał.1_WPF_bazowy!$I$23:$R$23</c:f>
              <c:numCache>
                <c:formatCode>#,##0.00_ ;[Red]\-#,##0.00\ </c:formatCode>
                <c:ptCount val="10"/>
                <c:pt idx="0">
                  <c:v>3439772.25</c:v>
                </c:pt>
                <c:pt idx="1">
                  <c:v>2920361</c:v>
                </c:pt>
                <c:pt idx="2">
                  <c:v>1226327</c:v>
                </c:pt>
                <c:pt idx="3">
                  <c:v>1197417</c:v>
                </c:pt>
                <c:pt idx="4">
                  <c:v>1103340</c:v>
                </c:pt>
                <c:pt idx="5">
                  <c:v>1204150</c:v>
                </c:pt>
                <c:pt idx="6">
                  <c:v>506904</c:v>
                </c:pt>
                <c:pt idx="7">
                  <c:v>247662</c:v>
                </c:pt>
                <c:pt idx="8">
                  <c:v>1196481</c:v>
                </c:pt>
                <c:pt idx="9">
                  <c:v>1211426</c:v>
                </c:pt>
              </c:numCache>
            </c:numRef>
          </c:val>
        </c:ser>
        <c:overlap val="100"/>
        <c:axId val="69466368"/>
        <c:axId val="79962112"/>
      </c:barChart>
      <c:lineChart>
        <c:grouping val="standard"/>
        <c:ser>
          <c:idx val="1"/>
          <c:order val="0"/>
          <c:tx>
            <c:strRef>
              <c:f>Zał.1_WPF_bazowy!$D$46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marker>
            <c:symbol val="none"/>
          </c:marker>
          <c:cat>
            <c:numRef>
              <c:f>Zał.1_WPF_bazowy!$I$4:$S$4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Zał.1_WPF_bazowy!$I$46:$R$46</c:f>
              <c:numCache>
                <c:formatCode>#,##0.00_ ;[Red]\-#,##0.00\ </c:formatCode>
                <c:ptCount val="10"/>
                <c:pt idx="0">
                  <c:v>-413988</c:v>
                </c:pt>
                <c:pt idx="1">
                  <c:v>527017</c:v>
                </c:pt>
                <c:pt idx="2">
                  <c:v>1026327</c:v>
                </c:pt>
                <c:pt idx="3">
                  <c:v>1297417</c:v>
                </c:pt>
                <c:pt idx="4">
                  <c:v>1403340</c:v>
                </c:pt>
                <c:pt idx="5">
                  <c:v>1504150</c:v>
                </c:pt>
                <c:pt idx="6">
                  <c:v>1406904</c:v>
                </c:pt>
                <c:pt idx="7">
                  <c:v>1247662</c:v>
                </c:pt>
                <c:pt idx="8">
                  <c:v>2096481</c:v>
                </c:pt>
                <c:pt idx="9">
                  <c:v>2241426</c:v>
                </c:pt>
              </c:numCache>
            </c:numRef>
          </c:val>
        </c:ser>
        <c:marker val="1"/>
        <c:axId val="69466368"/>
        <c:axId val="79962112"/>
      </c:lineChart>
      <c:catAx>
        <c:axId val="6946636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9962112"/>
        <c:crosses val="autoZero"/>
        <c:auto val="1"/>
        <c:lblAlgn val="ctr"/>
        <c:lblOffset val="100"/>
      </c:catAx>
      <c:valAx>
        <c:axId val="7996211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946636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3"/>
          <c:order val="0"/>
          <c:tx>
            <c:strRef>
              <c:f>Zał.1_WPF_bazowy!$D$42</c:f>
              <c:strCache>
                <c:ptCount val="1"/>
                <c:pt idx="0">
                  <c:v>Wskaźnik zadłużenia do dochodów ogółem określony w art. 170 ufp z 2005 r., bez uwzględniania wyłączeń określonych w pkt 6.1.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Zał.1_WPF_bazowy!$I$42:$R$42</c:f>
              <c:numCache>
                <c:formatCode>0.00%;[Red]\-0.00%</c:formatCode>
                <c:ptCount val="10"/>
                <c:pt idx="0">
                  <c:v>0.60860000000000003</c:v>
                </c:pt>
                <c:pt idx="1">
                  <c:v>0.52049999999999996</c:v>
                </c:pt>
                <c:pt idx="2">
                  <c:v>0.5927</c:v>
                </c:pt>
                <c:pt idx="3">
                  <c:v>0.55900000000000005</c:v>
                </c:pt>
                <c:pt idx="4">
                  <c:v>0.5171</c:v>
                </c:pt>
                <c:pt idx="5">
                  <c:v>0.47620000000000001</c:v>
                </c:pt>
                <c:pt idx="6">
                  <c:v>0.40660000000000002</c:v>
                </c:pt>
                <c:pt idx="7">
                  <c:v>0.33660000000000001</c:v>
                </c:pt>
                <c:pt idx="8">
                  <c:v>0.26500000000000001</c:v>
                </c:pt>
                <c:pt idx="9">
                  <c:v>0.19070000000000001</c:v>
                </c:pt>
              </c:numCache>
            </c:numRef>
          </c:val>
        </c:ser>
        <c:marker val="1"/>
        <c:axId val="79990144"/>
        <c:axId val="80000128"/>
      </c:lineChart>
      <c:catAx>
        <c:axId val="7999014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0000128"/>
        <c:crosses val="autoZero"/>
        <c:auto val="1"/>
        <c:lblAlgn val="ctr"/>
        <c:lblOffset val="100"/>
      </c:catAx>
      <c:valAx>
        <c:axId val="8000012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9990144"/>
        <c:crosses val="autoZero"/>
        <c:crossBetween val="between"/>
      </c:valAx>
    </c:plotArea>
    <c:legend>
      <c:legendPos val="t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Zał.1_WPF_bazowy!$D$49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Zał.1_WPF_bazowy!$I$49:$R$49</c:f>
              <c:numCache>
                <c:formatCode>0.00%;[Red]\-0.00%</c:formatCode>
                <c:ptCount val="10"/>
                <c:pt idx="0">
                  <c:v>0.1502</c:v>
                </c:pt>
                <c:pt idx="1">
                  <c:v>7.9399999999999998E-2</c:v>
                </c:pt>
                <c:pt idx="2">
                  <c:v>4.2299999999999997E-2</c:v>
                </c:pt>
                <c:pt idx="3">
                  <c:v>5.57E-2</c:v>
                </c:pt>
                <c:pt idx="4">
                  <c:v>6.3399999999999998E-2</c:v>
                </c:pt>
                <c:pt idx="5">
                  <c:v>6.0400000000000002E-2</c:v>
                </c:pt>
                <c:pt idx="6">
                  <c:v>8.9800000000000005E-2</c:v>
                </c:pt>
                <c:pt idx="7">
                  <c:v>9.11E-2</c:v>
                </c:pt>
                <c:pt idx="8">
                  <c:v>7.9299999999999995E-2</c:v>
                </c:pt>
                <c:pt idx="9">
                  <c:v>7.9899999999999999E-2</c:v>
                </c:pt>
              </c:numCache>
            </c:numRef>
          </c:val>
        </c:ser>
        <c:marker val="1"/>
        <c:axId val="80352384"/>
        <c:axId val="80353920"/>
      </c:lineChart>
      <c:catAx>
        <c:axId val="803523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0353920"/>
        <c:crosses val="autoZero"/>
        <c:auto val="1"/>
        <c:lblAlgn val="ctr"/>
        <c:lblOffset val="100"/>
      </c:catAx>
      <c:valAx>
        <c:axId val="8035392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0352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9972222222222239E-2"/>
          <c:y val="2.7777777777777801E-2"/>
          <c:w val="0.8800555555555557"/>
          <c:h val="0.22105898221055698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Zał.1_WPF_bazowy!$D$56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plan 3 kwartał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Zał.1_WPF_bazowy!$I$56:$R$56</c:f>
              <c:numCache>
                <c:formatCode>0.00%;[Red]\-0.00%</c:formatCode>
                <c:ptCount val="10"/>
                <c:pt idx="0">
                  <c:v>-9.5999999999999992E-3</c:v>
                </c:pt>
                <c:pt idx="1">
                  <c:v>2.7E-2</c:v>
                </c:pt>
                <c:pt idx="2">
                  <c:v>3.7699999999999997E-2</c:v>
                </c:pt>
                <c:pt idx="3">
                  <c:v>5.9799999999999999E-2</c:v>
                </c:pt>
                <c:pt idx="4">
                  <c:v>6.8400000000000002E-2</c:v>
                </c:pt>
                <c:pt idx="5">
                  <c:v>8.5900000000000004E-2</c:v>
                </c:pt>
                <c:pt idx="6">
                  <c:v>9.3200000000000005E-2</c:v>
                </c:pt>
                <c:pt idx="7">
                  <c:v>9.3899999999999997E-2</c:v>
                </c:pt>
                <c:pt idx="8">
                  <c:v>9.0200000000000002E-2</c:v>
                </c:pt>
                <c:pt idx="9">
                  <c:v>9.9000000000000005E-2</c:v>
                </c:pt>
              </c:numCache>
            </c:numRef>
          </c:val>
        </c:ser>
        <c:ser>
          <c:idx val="1"/>
          <c:order val="1"/>
          <c:tx>
            <c:strRef>
              <c:f>Zał.1_WPF_bazowy!$D$51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marker>
            <c:symbol val="none"/>
          </c:marker>
          <c:cat>
            <c:numRef>
              <c:f>Zał.1_WPF_bazowy!$I$4:$R$4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Zał.1_WPF_bazowy!$I$51:$R$51</c:f>
              <c:numCache>
                <c:formatCode>0.00%;[Red]\-0.00%</c:formatCode>
                <c:ptCount val="10"/>
                <c:pt idx="0">
                  <c:v>0.1502</c:v>
                </c:pt>
                <c:pt idx="1">
                  <c:v>7.9399999999999998E-2</c:v>
                </c:pt>
                <c:pt idx="2">
                  <c:v>4.2299999999999997E-2</c:v>
                </c:pt>
                <c:pt idx="3">
                  <c:v>5.57E-2</c:v>
                </c:pt>
                <c:pt idx="4">
                  <c:v>6.3399999999999998E-2</c:v>
                </c:pt>
                <c:pt idx="5">
                  <c:v>6.0400000000000002E-2</c:v>
                </c:pt>
                <c:pt idx="6">
                  <c:v>8.9800000000000005E-2</c:v>
                </c:pt>
                <c:pt idx="7">
                  <c:v>9.11E-2</c:v>
                </c:pt>
                <c:pt idx="8">
                  <c:v>7.9299999999999995E-2</c:v>
                </c:pt>
                <c:pt idx="9">
                  <c:v>7.9899999999999999E-2</c:v>
                </c:pt>
              </c:numCache>
            </c:numRef>
          </c:val>
        </c:ser>
        <c:marker val="1"/>
        <c:axId val="80394496"/>
        <c:axId val="80396288"/>
      </c:lineChart>
      <c:catAx>
        <c:axId val="8039449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0396288"/>
        <c:crosses val="autoZero"/>
        <c:auto val="1"/>
        <c:lblAlgn val="ctr"/>
        <c:lblOffset val="100"/>
      </c:catAx>
      <c:valAx>
        <c:axId val="8039628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03944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0284558180227453E-2"/>
          <c:y val="2.7777777777777801E-2"/>
          <c:w val="0.8794306649168856"/>
          <c:h val="0.1979108340624089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211047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211047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211047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211047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2110478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2110479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466725</xdr:colOff>
      <xdr:row>97</xdr:row>
      <xdr:rowOff>85725</xdr:rowOff>
    </xdr:to>
    <xdr:graphicFrame macro="">
      <xdr:nvGraphicFramePr>
        <xdr:cNvPr id="2110480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466725</xdr:colOff>
      <xdr:row>81</xdr:row>
      <xdr:rowOff>95250</xdr:rowOff>
    </xdr:to>
    <xdr:graphicFrame macro="">
      <xdr:nvGraphicFramePr>
        <xdr:cNvPr id="2110481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466725</xdr:colOff>
      <xdr:row>114</xdr:row>
      <xdr:rowOff>85725</xdr:rowOff>
    </xdr:to>
    <xdr:graphicFrame macro="">
      <xdr:nvGraphicFramePr>
        <xdr:cNvPr id="2110482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2110483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161925</xdr:colOff>
      <xdr:row>82</xdr:row>
      <xdr:rowOff>38100</xdr:rowOff>
    </xdr:from>
    <xdr:to>
      <xdr:col>13</xdr:col>
      <xdr:colOff>619125</xdr:colOff>
      <xdr:row>97</xdr:row>
      <xdr:rowOff>66675</xdr:rowOff>
    </xdr:to>
    <xdr:graphicFrame macro="">
      <xdr:nvGraphicFramePr>
        <xdr:cNvPr id="2110484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211048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190500</xdr:colOff>
      <xdr:row>99</xdr:row>
      <xdr:rowOff>66675</xdr:rowOff>
    </xdr:from>
    <xdr:to>
      <xdr:col>13</xdr:col>
      <xdr:colOff>647700</xdr:colOff>
      <xdr:row>114</xdr:row>
      <xdr:rowOff>95250</xdr:rowOff>
    </xdr:to>
    <xdr:graphicFrame macro="">
      <xdr:nvGraphicFramePr>
        <xdr:cNvPr id="2110486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457200</xdr:colOff>
      <xdr:row>131</xdr:row>
      <xdr:rowOff>123825</xdr:rowOff>
    </xdr:to>
    <xdr:graphicFrame macro="">
      <xdr:nvGraphicFramePr>
        <xdr:cNvPr id="211048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180975</xdr:colOff>
      <xdr:row>116</xdr:row>
      <xdr:rowOff>114300</xdr:rowOff>
    </xdr:from>
    <xdr:to>
      <xdr:col>13</xdr:col>
      <xdr:colOff>638175</xdr:colOff>
      <xdr:row>131</xdr:row>
      <xdr:rowOff>142875</xdr:rowOff>
    </xdr:to>
    <xdr:graphicFrame macro="">
      <xdr:nvGraphicFramePr>
        <xdr:cNvPr id="211048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190500</xdr:colOff>
      <xdr:row>66</xdr:row>
      <xdr:rowOff>57150</xdr:rowOff>
    </xdr:from>
    <xdr:to>
      <xdr:col>13</xdr:col>
      <xdr:colOff>647700</xdr:colOff>
      <xdr:row>81</xdr:row>
      <xdr:rowOff>85725</xdr:rowOff>
    </xdr:to>
    <xdr:graphicFrame macro="">
      <xdr:nvGraphicFramePr>
        <xdr:cNvPr id="2110489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249"/>
  <sheetViews>
    <sheetView tabSelected="1" view="pageBreakPreview" zoomScaleNormal="90" zoomScaleSheetLayoutView="100" workbookViewId="0">
      <pane xSplit="4" ySplit="4" topLeftCell="I85" activePane="bottomRight" state="frozen"/>
      <selection pane="topRight" activeCell="F1" sqref="F1"/>
      <selection pane="bottomLeft" activeCell="A10" sqref="A10"/>
      <selection pane="bottomRight" activeCell="M1" sqref="M1:O1"/>
    </sheetView>
  </sheetViews>
  <sheetFormatPr defaultRowHeight="14.25" outlineLevelRow="3" outlineLevelCol="1"/>
  <cols>
    <col min="1" max="1" width="4.25" style="375" hidden="1" customWidth="1" outlineLevel="1"/>
    <col min="2" max="2" width="6.625" style="1" customWidth="1" collapsed="1"/>
    <col min="3" max="3" width="7.25" style="1" hidden="1" customWidth="1"/>
    <col min="4" max="4" width="70.625" style="1" customWidth="1"/>
    <col min="5" max="8" width="14" style="1" hidden="1" customWidth="1" outlineLevel="1"/>
    <col min="9" max="9" width="14" style="1" customWidth="1" collapsed="1"/>
    <col min="10" max="38" width="14" style="1" customWidth="1"/>
  </cols>
  <sheetData>
    <row r="1" spans="1:39" s="85" customFormat="1" ht="57" customHeight="1">
      <c r="A1" s="375"/>
      <c r="B1" s="427"/>
      <c r="C1" s="427"/>
      <c r="D1" s="424"/>
      <c r="E1" s="424"/>
      <c r="F1" s="425"/>
      <c r="G1" s="425"/>
      <c r="H1" s="425"/>
      <c r="I1" s="425"/>
      <c r="J1" s="425"/>
      <c r="K1" s="425"/>
      <c r="L1" s="425"/>
      <c r="M1" s="428" t="s">
        <v>505</v>
      </c>
      <c r="N1" s="429"/>
      <c r="O1" s="4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s="85" customFormat="1" ht="19.5" customHeight="1">
      <c r="A2" s="375"/>
      <c r="B2" s="430" t="s">
        <v>504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15.75">
      <c r="B3" s="126"/>
      <c r="C3" s="126"/>
      <c r="D3" s="139"/>
      <c r="E3" s="426" t="s">
        <v>437</v>
      </c>
      <c r="F3" s="426"/>
      <c r="G3" s="298" t="s">
        <v>436</v>
      </c>
      <c r="H3" s="298" t="s">
        <v>437</v>
      </c>
      <c r="I3" s="307" t="str">
        <f>""</f>
        <v/>
      </c>
      <c r="J3" s="297"/>
      <c r="K3" s="297"/>
      <c r="L3" s="297"/>
      <c r="M3" s="297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7"/>
    </row>
    <row r="4" spans="1:39">
      <c r="A4" s="380" t="s">
        <v>469</v>
      </c>
      <c r="B4" s="39" t="s">
        <v>0</v>
      </c>
      <c r="C4" s="351"/>
      <c r="D4" s="350" t="s">
        <v>1</v>
      </c>
      <c r="E4" s="91" t="s">
        <v>433</v>
      </c>
      <c r="F4" s="45" t="s">
        <v>434</v>
      </c>
      <c r="G4" s="45" t="s">
        <v>435</v>
      </c>
      <c r="H4" s="46" t="s">
        <v>435</v>
      </c>
      <c r="I4" s="44">
        <f>+definicja!E9</f>
        <v>2013</v>
      </c>
      <c r="J4" s="40">
        <f>+definicja!F9</f>
        <v>2014</v>
      </c>
      <c r="K4" s="40">
        <f>+definicja!G9</f>
        <v>2015</v>
      </c>
      <c r="L4" s="40">
        <f>+definicja!H9</f>
        <v>2016</v>
      </c>
      <c r="M4" s="40">
        <f>+definicja!I9</f>
        <v>2017</v>
      </c>
      <c r="N4" s="40">
        <f>+definicja!J9</f>
        <v>2018</v>
      </c>
      <c r="O4" s="40">
        <f>+definicja!K9</f>
        <v>2019</v>
      </c>
      <c r="P4" s="40">
        <f>+definicja!L9</f>
        <v>2020</v>
      </c>
      <c r="Q4" s="40">
        <f>+definicja!M9</f>
        <v>2021</v>
      </c>
      <c r="R4" s="40">
        <f>+definicja!N9</f>
        <v>2022</v>
      </c>
      <c r="S4" s="40">
        <f>+definicja!O9</f>
        <v>2023</v>
      </c>
      <c r="T4" s="40">
        <f>+definicja!P9</f>
        <v>2024</v>
      </c>
      <c r="U4" s="40">
        <f>+definicja!Q9</f>
        <v>2025</v>
      </c>
      <c r="V4" s="40">
        <f>+definicja!R9</f>
        <v>2026</v>
      </c>
      <c r="W4" s="40">
        <f>+definicja!S9</f>
        <v>2027</v>
      </c>
      <c r="X4" s="40">
        <f>+definicja!T9</f>
        <v>2028</v>
      </c>
      <c r="Y4" s="40">
        <f>+definicja!U9</f>
        <v>2029</v>
      </c>
      <c r="Z4" s="40">
        <f>+definicja!V9</f>
        <v>2030</v>
      </c>
      <c r="AA4" s="40">
        <f>+definicja!W9</f>
        <v>2031</v>
      </c>
      <c r="AB4" s="40">
        <f>+definicja!X9</f>
        <v>2032</v>
      </c>
      <c r="AC4" s="40">
        <f>+definicja!Y9</f>
        <v>2033</v>
      </c>
      <c r="AD4" s="40">
        <f>+definicja!Z9</f>
        <v>2034</v>
      </c>
      <c r="AE4" s="40">
        <f>+definicja!AA9</f>
        <v>2035</v>
      </c>
      <c r="AF4" s="40">
        <f>+definicja!AB9</f>
        <v>2036</v>
      </c>
      <c r="AG4" s="40">
        <f>+definicja!AC9</f>
        <v>2037</v>
      </c>
      <c r="AH4" s="40">
        <f>+definicja!AD9</f>
        <v>2038</v>
      </c>
      <c r="AI4" s="40">
        <f>+definicja!AE9</f>
        <v>2039</v>
      </c>
      <c r="AJ4" s="40">
        <f>+definicja!AF9</f>
        <v>2040</v>
      </c>
      <c r="AK4" s="40">
        <f>+definicja!AG9</f>
        <v>2041</v>
      </c>
      <c r="AL4" s="41">
        <f>+definicja!AH9</f>
        <v>2042</v>
      </c>
      <c r="AM4" s="42"/>
    </row>
    <row r="5" spans="1:39" ht="15" customHeight="1" outlineLevel="1">
      <c r="A5" s="375" t="s">
        <v>31</v>
      </c>
      <c r="B5" s="47">
        <v>1</v>
      </c>
      <c r="C5" s="376"/>
      <c r="D5" s="353" t="s">
        <v>26</v>
      </c>
      <c r="E5" s="92">
        <f>16360657.9</f>
        <v>16360657.9</v>
      </c>
      <c r="F5" s="50">
        <f>15865865.16</f>
        <v>15865865.16</v>
      </c>
      <c r="G5" s="50">
        <f>18420868.92</f>
        <v>18420868.920000002</v>
      </c>
      <c r="H5" s="51">
        <f>18510610.4</f>
        <v>18510610.399999999</v>
      </c>
      <c r="I5" s="52">
        <f>19073889.75</f>
        <v>19073889.75</v>
      </c>
      <c r="J5" s="53">
        <f>20250344</f>
        <v>20250344</v>
      </c>
      <c r="K5" s="53">
        <f>17600000</f>
        <v>17600000</v>
      </c>
      <c r="L5" s="53">
        <f>17943950</f>
        <v>17943950</v>
      </c>
      <c r="M5" s="53">
        <f>18237269</f>
        <v>18237269</v>
      </c>
      <c r="N5" s="53">
        <f>18545387</f>
        <v>18545387</v>
      </c>
      <c r="O5" s="53">
        <f>18768748</f>
        <v>18768748</v>
      </c>
      <c r="P5" s="53">
        <f>18807811</f>
        <v>18807811</v>
      </c>
      <c r="Q5" s="53">
        <f>19363045</f>
        <v>19363045</v>
      </c>
      <c r="R5" s="53">
        <f>19934936</f>
        <v>19934936</v>
      </c>
      <c r="S5" s="53">
        <f>20523984</f>
        <v>20523984</v>
      </c>
      <c r="T5" s="53">
        <f>21130704</f>
        <v>21130704</v>
      </c>
      <c r="U5" s="53">
        <f>21755625</f>
        <v>21755625</v>
      </c>
      <c r="V5" s="53">
        <f>0</f>
        <v>0</v>
      </c>
      <c r="W5" s="53">
        <f>0</f>
        <v>0</v>
      </c>
      <c r="X5" s="53">
        <f>0</f>
        <v>0</v>
      </c>
      <c r="Y5" s="53">
        <f>0</f>
        <v>0</v>
      </c>
      <c r="Z5" s="53">
        <f>0</f>
        <v>0</v>
      </c>
      <c r="AA5" s="53">
        <f>0</f>
        <v>0</v>
      </c>
      <c r="AB5" s="53">
        <f>0</f>
        <v>0</v>
      </c>
      <c r="AC5" s="53">
        <f>0</f>
        <v>0</v>
      </c>
      <c r="AD5" s="53">
        <f>0</f>
        <v>0</v>
      </c>
      <c r="AE5" s="53">
        <f>0</f>
        <v>0</v>
      </c>
      <c r="AF5" s="53">
        <f>0</f>
        <v>0</v>
      </c>
      <c r="AG5" s="53">
        <f>0</f>
        <v>0</v>
      </c>
      <c r="AH5" s="53">
        <f>0</f>
        <v>0</v>
      </c>
      <c r="AI5" s="53">
        <f>0</f>
        <v>0</v>
      </c>
      <c r="AJ5" s="53">
        <f>0</f>
        <v>0</v>
      </c>
      <c r="AK5" s="53">
        <f>0</f>
        <v>0</v>
      </c>
      <c r="AL5" s="54">
        <f>0</f>
        <v>0</v>
      </c>
      <c r="AM5" s="43"/>
    </row>
    <row r="6" spans="1:39" ht="15" customHeight="1" outlineLevel="2">
      <c r="A6" s="375" t="s">
        <v>31</v>
      </c>
      <c r="B6" s="48" t="s">
        <v>164</v>
      </c>
      <c r="C6" s="354"/>
      <c r="D6" s="355" t="s">
        <v>226</v>
      </c>
      <c r="E6" s="93">
        <f>13328461.31</f>
        <v>13328461.310000001</v>
      </c>
      <c r="F6" s="55">
        <f>14133461.96</f>
        <v>14133461.960000001</v>
      </c>
      <c r="G6" s="55">
        <f>15732874.92</f>
        <v>15732874.92</v>
      </c>
      <c r="H6" s="56">
        <f>15979638.24</f>
        <v>15979638.24</v>
      </c>
      <c r="I6" s="57">
        <f>16467129.5</f>
        <v>16467129.5</v>
      </c>
      <c r="J6" s="58">
        <f>16800000</f>
        <v>16800000</v>
      </c>
      <c r="K6" s="58">
        <f>17300000</f>
        <v>17300000</v>
      </c>
      <c r="L6" s="58">
        <f>17643950</f>
        <v>17643950</v>
      </c>
      <c r="M6" s="58">
        <f>17937269</f>
        <v>17937269</v>
      </c>
      <c r="N6" s="58">
        <f>18245387</f>
        <v>18245387</v>
      </c>
      <c r="O6" s="58">
        <f>18468748</f>
        <v>18468748</v>
      </c>
      <c r="P6" s="58">
        <f>18507811</f>
        <v>18507811</v>
      </c>
      <c r="Q6" s="58">
        <f>19063045</f>
        <v>19063045</v>
      </c>
      <c r="R6" s="58">
        <f>19634936</f>
        <v>19634936</v>
      </c>
      <c r="S6" s="58">
        <f>20223984</f>
        <v>20223984</v>
      </c>
      <c r="T6" s="58">
        <f>20830704</f>
        <v>20830704</v>
      </c>
      <c r="U6" s="58">
        <f>21455625</f>
        <v>21455625</v>
      </c>
      <c r="V6" s="58">
        <f>0</f>
        <v>0</v>
      </c>
      <c r="W6" s="58">
        <f>0</f>
        <v>0</v>
      </c>
      <c r="X6" s="58">
        <f>0</f>
        <v>0</v>
      </c>
      <c r="Y6" s="58">
        <f>0</f>
        <v>0</v>
      </c>
      <c r="Z6" s="58">
        <f>0</f>
        <v>0</v>
      </c>
      <c r="AA6" s="58">
        <f>0</f>
        <v>0</v>
      </c>
      <c r="AB6" s="58">
        <f>0</f>
        <v>0</v>
      </c>
      <c r="AC6" s="58">
        <f>0</f>
        <v>0</v>
      </c>
      <c r="AD6" s="58">
        <f>0</f>
        <v>0</v>
      </c>
      <c r="AE6" s="58">
        <f>0</f>
        <v>0</v>
      </c>
      <c r="AF6" s="58">
        <f>0</f>
        <v>0</v>
      </c>
      <c r="AG6" s="58">
        <f>0</f>
        <v>0</v>
      </c>
      <c r="AH6" s="58">
        <f>0</f>
        <v>0</v>
      </c>
      <c r="AI6" s="58">
        <f>0</f>
        <v>0</v>
      </c>
      <c r="AJ6" s="58">
        <f>0</f>
        <v>0</v>
      </c>
      <c r="AK6" s="58">
        <f>0</f>
        <v>0</v>
      </c>
      <c r="AL6" s="59">
        <f>0</f>
        <v>0</v>
      </c>
    </row>
    <row r="7" spans="1:39" ht="15" customHeight="1" outlineLevel="3">
      <c r="B7" s="48" t="s">
        <v>44</v>
      </c>
      <c r="C7" s="354"/>
      <c r="D7" s="356" t="s">
        <v>215</v>
      </c>
      <c r="E7" s="93">
        <f>1009425</f>
        <v>1009425</v>
      </c>
      <c r="F7" s="55">
        <f>1249390</f>
        <v>1249390</v>
      </c>
      <c r="G7" s="55">
        <f>0</f>
        <v>0</v>
      </c>
      <c r="H7" s="56">
        <f>1312222</f>
        <v>1312222</v>
      </c>
      <c r="I7" s="57">
        <f>1464627</f>
        <v>1464627</v>
      </c>
      <c r="J7" s="58">
        <f>1488000</f>
        <v>1488000</v>
      </c>
      <c r="K7" s="58">
        <f>1562000</f>
        <v>1562000</v>
      </c>
      <c r="L7" s="58">
        <f>1562000</f>
        <v>1562000</v>
      </c>
      <c r="M7" s="58">
        <f>1575000</f>
        <v>1575000</v>
      </c>
      <c r="N7" s="58">
        <f>1622000</f>
        <v>1622000</v>
      </c>
      <c r="O7" s="58">
        <f>1671000</f>
        <v>1671000</v>
      </c>
      <c r="P7" s="58">
        <f>1721000</f>
        <v>1721000</v>
      </c>
      <c r="Q7" s="58">
        <f>1773000</f>
        <v>1773000</v>
      </c>
      <c r="R7" s="58">
        <f>1826000</f>
        <v>1826000</v>
      </c>
      <c r="S7" s="58">
        <f>1881000</f>
        <v>1881000</v>
      </c>
      <c r="T7" s="58">
        <f>1937000</f>
        <v>1937000</v>
      </c>
      <c r="U7" s="58">
        <f>1995000</f>
        <v>1995000</v>
      </c>
      <c r="V7" s="58">
        <f>0</f>
        <v>0</v>
      </c>
      <c r="W7" s="58">
        <f>0</f>
        <v>0</v>
      </c>
      <c r="X7" s="58">
        <f>0</f>
        <v>0</v>
      </c>
      <c r="Y7" s="58">
        <f>0</f>
        <v>0</v>
      </c>
      <c r="Z7" s="58">
        <f>0</f>
        <v>0</v>
      </c>
      <c r="AA7" s="58">
        <f>0</f>
        <v>0</v>
      </c>
      <c r="AB7" s="58">
        <f>0</f>
        <v>0</v>
      </c>
      <c r="AC7" s="58">
        <f>0</f>
        <v>0</v>
      </c>
      <c r="AD7" s="58">
        <f>0</f>
        <v>0</v>
      </c>
      <c r="AE7" s="58">
        <f>0</f>
        <v>0</v>
      </c>
      <c r="AF7" s="58">
        <f>0</f>
        <v>0</v>
      </c>
      <c r="AG7" s="58">
        <f>0</f>
        <v>0</v>
      </c>
      <c r="AH7" s="58">
        <f>0</f>
        <v>0</v>
      </c>
      <c r="AI7" s="58">
        <f>0</f>
        <v>0</v>
      </c>
      <c r="AJ7" s="58">
        <f>0</f>
        <v>0</v>
      </c>
      <c r="AK7" s="58">
        <f>0</f>
        <v>0</v>
      </c>
      <c r="AL7" s="59">
        <f>0</f>
        <v>0</v>
      </c>
    </row>
    <row r="8" spans="1:39" ht="15" customHeight="1" outlineLevel="3">
      <c r="B8" s="48" t="s">
        <v>46</v>
      </c>
      <c r="C8" s="354"/>
      <c r="D8" s="356" t="s">
        <v>216</v>
      </c>
      <c r="E8" s="93">
        <f>9251.58</f>
        <v>9251.58</v>
      </c>
      <c r="F8" s="55">
        <f>8263.09</f>
        <v>8263.09</v>
      </c>
      <c r="G8" s="55">
        <f>0</f>
        <v>0</v>
      </c>
      <c r="H8" s="56">
        <f>11877.15</f>
        <v>11877.15</v>
      </c>
      <c r="I8" s="57">
        <f>5000</f>
        <v>5000</v>
      </c>
      <c r="J8" s="58">
        <f>6000</f>
        <v>6000</v>
      </c>
      <c r="K8" s="58">
        <f>7000</f>
        <v>7000</v>
      </c>
      <c r="L8" s="58">
        <f>7000</f>
        <v>7000</v>
      </c>
      <c r="M8" s="58">
        <f>8000</f>
        <v>8000</v>
      </c>
      <c r="N8" s="58">
        <f>9000</f>
        <v>9000</v>
      </c>
      <c r="O8" s="58">
        <f>10000</f>
        <v>10000</v>
      </c>
      <c r="P8" s="58">
        <f>11000</f>
        <v>11000</v>
      </c>
      <c r="Q8" s="58">
        <f>12000</f>
        <v>12000</v>
      </c>
      <c r="R8" s="58">
        <f>13000</f>
        <v>13000</v>
      </c>
      <c r="S8" s="58">
        <f>14000</f>
        <v>14000</v>
      </c>
      <c r="T8" s="58">
        <f>15000</f>
        <v>15000</v>
      </c>
      <c r="U8" s="58">
        <f>16000</f>
        <v>16000</v>
      </c>
      <c r="V8" s="58">
        <f>0</f>
        <v>0</v>
      </c>
      <c r="W8" s="58">
        <f>0</f>
        <v>0</v>
      </c>
      <c r="X8" s="58">
        <f>0</f>
        <v>0</v>
      </c>
      <c r="Y8" s="58">
        <f>0</f>
        <v>0</v>
      </c>
      <c r="Z8" s="58">
        <f>0</f>
        <v>0</v>
      </c>
      <c r="AA8" s="58">
        <f>0</f>
        <v>0</v>
      </c>
      <c r="AB8" s="58">
        <f>0</f>
        <v>0</v>
      </c>
      <c r="AC8" s="58">
        <f>0</f>
        <v>0</v>
      </c>
      <c r="AD8" s="58">
        <f>0</f>
        <v>0</v>
      </c>
      <c r="AE8" s="58">
        <f>0</f>
        <v>0</v>
      </c>
      <c r="AF8" s="58">
        <f>0</f>
        <v>0</v>
      </c>
      <c r="AG8" s="58">
        <f>0</f>
        <v>0</v>
      </c>
      <c r="AH8" s="58">
        <f>0</f>
        <v>0</v>
      </c>
      <c r="AI8" s="58">
        <f>0</f>
        <v>0</v>
      </c>
      <c r="AJ8" s="58">
        <f>0</f>
        <v>0</v>
      </c>
      <c r="AK8" s="58">
        <f>0</f>
        <v>0</v>
      </c>
      <c r="AL8" s="59">
        <f>0</f>
        <v>0</v>
      </c>
    </row>
    <row r="9" spans="1:39" ht="15" customHeight="1" outlineLevel="3">
      <c r="B9" s="48" t="s">
        <v>48</v>
      </c>
      <c r="C9" s="354"/>
      <c r="D9" s="356" t="s">
        <v>220</v>
      </c>
      <c r="E9" s="93">
        <f>3210835.44</f>
        <v>3210835.44</v>
      </c>
      <c r="F9" s="55">
        <f>3313649.1</f>
        <v>3313649.1</v>
      </c>
      <c r="G9" s="55">
        <f>0</f>
        <v>0</v>
      </c>
      <c r="H9" s="56">
        <f>3971720.7</f>
        <v>3971720.7</v>
      </c>
      <c r="I9" s="57">
        <f>4911346</f>
        <v>4911346</v>
      </c>
      <c r="J9" s="58">
        <f>4991000</f>
        <v>4991000</v>
      </c>
      <c r="K9" s="58">
        <f>5240000</f>
        <v>5240000</v>
      </c>
      <c r="L9" s="58">
        <f>5240000</f>
        <v>5240000</v>
      </c>
      <c r="M9" s="58">
        <f>5283000</f>
        <v>5283000</v>
      </c>
      <c r="N9" s="58">
        <f>5442000</f>
        <v>5442000</v>
      </c>
      <c r="O9" s="58">
        <f>5605000</f>
        <v>5605000</v>
      </c>
      <c r="P9" s="58">
        <f>5773000</f>
        <v>5773000</v>
      </c>
      <c r="Q9" s="58">
        <f>5946000</f>
        <v>5946000</v>
      </c>
      <c r="R9" s="58">
        <f>6125000</f>
        <v>6125000</v>
      </c>
      <c r="S9" s="58">
        <f>6380000</f>
        <v>6380000</v>
      </c>
      <c r="T9" s="58">
        <f>6498000</f>
        <v>6498000</v>
      </c>
      <c r="U9" s="58">
        <f>6693000</f>
        <v>6693000</v>
      </c>
      <c r="V9" s="58">
        <f>0</f>
        <v>0</v>
      </c>
      <c r="W9" s="58">
        <f>0</f>
        <v>0</v>
      </c>
      <c r="X9" s="58">
        <f>0</f>
        <v>0</v>
      </c>
      <c r="Y9" s="58">
        <f>0</f>
        <v>0</v>
      </c>
      <c r="Z9" s="58">
        <f>0</f>
        <v>0</v>
      </c>
      <c r="AA9" s="58">
        <f>0</f>
        <v>0</v>
      </c>
      <c r="AB9" s="58">
        <f>0</f>
        <v>0</v>
      </c>
      <c r="AC9" s="58">
        <f>0</f>
        <v>0</v>
      </c>
      <c r="AD9" s="58">
        <f>0</f>
        <v>0</v>
      </c>
      <c r="AE9" s="58">
        <f>0</f>
        <v>0</v>
      </c>
      <c r="AF9" s="58">
        <f>0</f>
        <v>0</v>
      </c>
      <c r="AG9" s="58">
        <f>0</f>
        <v>0</v>
      </c>
      <c r="AH9" s="58">
        <f>0</f>
        <v>0</v>
      </c>
      <c r="AI9" s="58">
        <f>0</f>
        <v>0</v>
      </c>
      <c r="AJ9" s="58">
        <f>0</f>
        <v>0</v>
      </c>
      <c r="AK9" s="58">
        <f>0</f>
        <v>0</v>
      </c>
      <c r="AL9" s="59">
        <f>0</f>
        <v>0</v>
      </c>
    </row>
    <row r="10" spans="1:39" ht="15" customHeight="1" outlineLevel="3">
      <c r="B10" s="48" t="s">
        <v>50</v>
      </c>
      <c r="C10" s="354"/>
      <c r="D10" s="357" t="s">
        <v>217</v>
      </c>
      <c r="E10" s="93">
        <f>1992817.36</f>
        <v>1992817.36</v>
      </c>
      <c r="F10" s="55">
        <f>1975049.77</f>
        <v>1975049.77</v>
      </c>
      <c r="G10" s="55">
        <f>0</f>
        <v>0</v>
      </c>
      <c r="H10" s="56">
        <f>2196048.63</f>
        <v>2196048.63</v>
      </c>
      <c r="I10" s="57">
        <f>2900000</f>
        <v>2900000</v>
      </c>
      <c r="J10" s="58">
        <f>2950000</f>
        <v>2950000</v>
      </c>
      <c r="K10" s="58">
        <f>3100000</f>
        <v>3100000</v>
      </c>
      <c r="L10" s="58">
        <f>3100000</f>
        <v>3100000</v>
      </c>
      <c r="M10" s="58">
        <f>3130000</f>
        <v>3130000</v>
      </c>
      <c r="N10" s="58">
        <f>3213000</f>
        <v>3213000</v>
      </c>
      <c r="O10" s="58">
        <f>3309000</f>
        <v>3309000</v>
      </c>
      <c r="P10" s="58">
        <f>3409000</f>
        <v>3409000</v>
      </c>
      <c r="Q10" s="58">
        <f>3511000</f>
        <v>3511000</v>
      </c>
      <c r="R10" s="58">
        <f>3616000</f>
        <v>3616000</v>
      </c>
      <c r="S10" s="58">
        <f>3725000</f>
        <v>3725000</v>
      </c>
      <c r="T10" s="58">
        <f>3836000</f>
        <v>3836000</v>
      </c>
      <c r="U10" s="58">
        <f>3952000</f>
        <v>3952000</v>
      </c>
      <c r="V10" s="58">
        <f>0</f>
        <v>0</v>
      </c>
      <c r="W10" s="58">
        <f>0</f>
        <v>0</v>
      </c>
      <c r="X10" s="58">
        <f>0</f>
        <v>0</v>
      </c>
      <c r="Y10" s="58">
        <f>0</f>
        <v>0</v>
      </c>
      <c r="Z10" s="58">
        <f>0</f>
        <v>0</v>
      </c>
      <c r="AA10" s="58">
        <f>0</f>
        <v>0</v>
      </c>
      <c r="AB10" s="58">
        <f>0</f>
        <v>0</v>
      </c>
      <c r="AC10" s="58">
        <f>0</f>
        <v>0</v>
      </c>
      <c r="AD10" s="58">
        <f>0</f>
        <v>0</v>
      </c>
      <c r="AE10" s="58">
        <f>0</f>
        <v>0</v>
      </c>
      <c r="AF10" s="58">
        <f>0</f>
        <v>0</v>
      </c>
      <c r="AG10" s="58">
        <f>0</f>
        <v>0</v>
      </c>
      <c r="AH10" s="58">
        <f>0</f>
        <v>0</v>
      </c>
      <c r="AI10" s="58">
        <f>0</f>
        <v>0</v>
      </c>
      <c r="AJ10" s="58">
        <f>0</f>
        <v>0</v>
      </c>
      <c r="AK10" s="58">
        <f>0</f>
        <v>0</v>
      </c>
      <c r="AL10" s="59">
        <f>0</f>
        <v>0</v>
      </c>
    </row>
    <row r="11" spans="1:39" ht="15" customHeight="1" outlineLevel="3">
      <c r="B11" s="48" t="s">
        <v>52</v>
      </c>
      <c r="C11" s="354"/>
      <c r="D11" s="356" t="s">
        <v>218</v>
      </c>
      <c r="E11" s="93">
        <f>5222259</f>
        <v>5222259</v>
      </c>
      <c r="F11" s="55">
        <f>5334677</f>
        <v>5334677</v>
      </c>
      <c r="G11" s="55">
        <f>0</f>
        <v>0</v>
      </c>
      <c r="H11" s="56">
        <f>5863857</f>
        <v>5863857</v>
      </c>
      <c r="I11" s="57">
        <f>6023919</f>
        <v>6023919</v>
      </c>
      <c r="J11" s="58">
        <f>6071000</f>
        <v>6071000</v>
      </c>
      <c r="K11" s="58">
        <f>6374000</f>
        <v>6374000</v>
      </c>
      <c r="L11" s="58">
        <f>6374000</f>
        <v>6374000</v>
      </c>
      <c r="M11" s="58">
        <f>6426000</f>
        <v>6426000</v>
      </c>
      <c r="N11" s="58">
        <f>6619000</f>
        <v>6619000</v>
      </c>
      <c r="O11" s="58">
        <f>6818000</f>
        <v>6818000</v>
      </c>
      <c r="P11" s="58">
        <f>7022000</f>
        <v>7022000</v>
      </c>
      <c r="Q11" s="58">
        <f>7233000</f>
        <v>7233000</v>
      </c>
      <c r="R11" s="58">
        <f>7450000</f>
        <v>7450000</v>
      </c>
      <c r="S11" s="58">
        <f>7673000</f>
        <v>7673000</v>
      </c>
      <c r="T11" s="58">
        <f>7904000</f>
        <v>7904000</v>
      </c>
      <c r="U11" s="58">
        <f>8141000</f>
        <v>8141000</v>
      </c>
      <c r="V11" s="58">
        <f>0</f>
        <v>0</v>
      </c>
      <c r="W11" s="58">
        <f>0</f>
        <v>0</v>
      </c>
      <c r="X11" s="58">
        <f>0</f>
        <v>0</v>
      </c>
      <c r="Y11" s="58">
        <f>0</f>
        <v>0</v>
      </c>
      <c r="Z11" s="58">
        <f>0</f>
        <v>0</v>
      </c>
      <c r="AA11" s="58">
        <f>0</f>
        <v>0</v>
      </c>
      <c r="AB11" s="58">
        <f>0</f>
        <v>0</v>
      </c>
      <c r="AC11" s="58">
        <f>0</f>
        <v>0</v>
      </c>
      <c r="AD11" s="58">
        <f>0</f>
        <v>0</v>
      </c>
      <c r="AE11" s="58">
        <f>0</f>
        <v>0</v>
      </c>
      <c r="AF11" s="58">
        <f>0</f>
        <v>0</v>
      </c>
      <c r="AG11" s="58">
        <f>0</f>
        <v>0</v>
      </c>
      <c r="AH11" s="58">
        <f>0</f>
        <v>0</v>
      </c>
      <c r="AI11" s="58">
        <f>0</f>
        <v>0</v>
      </c>
      <c r="AJ11" s="58">
        <f>0</f>
        <v>0</v>
      </c>
      <c r="AK11" s="58">
        <f>0</f>
        <v>0</v>
      </c>
      <c r="AL11" s="59">
        <f>0</f>
        <v>0</v>
      </c>
    </row>
    <row r="12" spans="1:39" ht="15" customHeight="1" outlineLevel="3">
      <c r="B12" s="48" t="s">
        <v>54</v>
      </c>
      <c r="C12" s="354"/>
      <c r="D12" s="356" t="s">
        <v>219</v>
      </c>
      <c r="E12" s="93">
        <f>3601430.92</f>
        <v>3601430.92</v>
      </c>
      <c r="F12" s="55">
        <f>3787259.62</f>
        <v>3787259.62</v>
      </c>
      <c r="G12" s="55">
        <f>0</f>
        <v>0</v>
      </c>
      <c r="H12" s="56">
        <f>4475079.28</f>
        <v>4475079.28</v>
      </c>
      <c r="I12" s="57">
        <f>3746501.5</f>
        <v>3746501.5</v>
      </c>
      <c r="J12" s="58">
        <f>3900000</f>
        <v>3900000</v>
      </c>
      <c r="K12" s="58">
        <f>4100000</f>
        <v>4100000</v>
      </c>
      <c r="L12" s="58">
        <f>4350000</f>
        <v>4350000</v>
      </c>
      <c r="M12" s="58">
        <f>4500000</f>
        <v>4500000</v>
      </c>
      <c r="N12" s="58">
        <f>4550000</f>
        <v>4550000</v>
      </c>
      <c r="O12" s="58">
        <f>4350000</f>
        <v>4350000</v>
      </c>
      <c r="P12" s="58">
        <f>3900000</f>
        <v>3900000</v>
      </c>
      <c r="Q12" s="58">
        <f>4090000</f>
        <v>4090000</v>
      </c>
      <c r="R12" s="58">
        <f>4200000</f>
        <v>4200000</v>
      </c>
      <c r="S12" s="58">
        <f>4250000</f>
        <v>4250000</v>
      </c>
      <c r="T12" s="58">
        <f>4450000</f>
        <v>4450000</v>
      </c>
      <c r="U12" s="58">
        <f>4600000</f>
        <v>4600000</v>
      </c>
      <c r="V12" s="58">
        <f>0</f>
        <v>0</v>
      </c>
      <c r="W12" s="58">
        <f>0</f>
        <v>0</v>
      </c>
      <c r="X12" s="58">
        <f>0</f>
        <v>0</v>
      </c>
      <c r="Y12" s="58">
        <f>0</f>
        <v>0</v>
      </c>
      <c r="Z12" s="58">
        <f>0</f>
        <v>0</v>
      </c>
      <c r="AA12" s="58">
        <f>0</f>
        <v>0</v>
      </c>
      <c r="AB12" s="58">
        <f>0</f>
        <v>0</v>
      </c>
      <c r="AC12" s="58">
        <f>0</f>
        <v>0</v>
      </c>
      <c r="AD12" s="58">
        <f>0</f>
        <v>0</v>
      </c>
      <c r="AE12" s="58">
        <f>0</f>
        <v>0</v>
      </c>
      <c r="AF12" s="58">
        <f>0</f>
        <v>0</v>
      </c>
      <c r="AG12" s="58">
        <f>0</f>
        <v>0</v>
      </c>
      <c r="AH12" s="58">
        <f>0</f>
        <v>0</v>
      </c>
      <c r="AI12" s="58">
        <f>0</f>
        <v>0</v>
      </c>
      <c r="AJ12" s="58">
        <f>0</f>
        <v>0</v>
      </c>
      <c r="AK12" s="58">
        <f>0</f>
        <v>0</v>
      </c>
      <c r="AL12" s="59">
        <f>0</f>
        <v>0</v>
      </c>
    </row>
    <row r="13" spans="1:39" ht="15" customHeight="1" outlineLevel="2">
      <c r="A13" s="375" t="s">
        <v>31</v>
      </c>
      <c r="B13" s="48" t="s">
        <v>165</v>
      </c>
      <c r="C13" s="354"/>
      <c r="D13" s="355" t="s">
        <v>29</v>
      </c>
      <c r="E13" s="93">
        <f>3032196.59</f>
        <v>3032196.59</v>
      </c>
      <c r="F13" s="55">
        <f>1732403.2</f>
        <v>1732403.2</v>
      </c>
      <c r="G13" s="55">
        <f>2687994</f>
        <v>2687994</v>
      </c>
      <c r="H13" s="56">
        <f>2530972.16</f>
        <v>2530972.16</v>
      </c>
      <c r="I13" s="57">
        <f>2606760.25</f>
        <v>2606760.25</v>
      </c>
      <c r="J13" s="58">
        <f>3450344</f>
        <v>3450344</v>
      </c>
      <c r="K13" s="58">
        <f t="shared" ref="K13:U14" si="0">300000</f>
        <v>300000</v>
      </c>
      <c r="L13" s="58">
        <f t="shared" si="0"/>
        <v>300000</v>
      </c>
      <c r="M13" s="58">
        <f t="shared" si="0"/>
        <v>300000</v>
      </c>
      <c r="N13" s="58">
        <f t="shared" si="0"/>
        <v>300000</v>
      </c>
      <c r="O13" s="58">
        <f t="shared" si="0"/>
        <v>300000</v>
      </c>
      <c r="P13" s="58">
        <f t="shared" si="0"/>
        <v>300000</v>
      </c>
      <c r="Q13" s="58">
        <f t="shared" si="0"/>
        <v>300000</v>
      </c>
      <c r="R13" s="58">
        <f t="shared" si="0"/>
        <v>300000</v>
      </c>
      <c r="S13" s="58">
        <f t="shared" si="0"/>
        <v>300000</v>
      </c>
      <c r="T13" s="58">
        <f t="shared" si="0"/>
        <v>300000</v>
      </c>
      <c r="U13" s="58">
        <f t="shared" si="0"/>
        <v>300000</v>
      </c>
      <c r="V13" s="58">
        <f>0</f>
        <v>0</v>
      </c>
      <c r="W13" s="58">
        <f>0</f>
        <v>0</v>
      </c>
      <c r="X13" s="58">
        <f>0</f>
        <v>0</v>
      </c>
      <c r="Y13" s="58">
        <f>0</f>
        <v>0</v>
      </c>
      <c r="Z13" s="58">
        <f>0</f>
        <v>0</v>
      </c>
      <c r="AA13" s="58">
        <f>0</f>
        <v>0</v>
      </c>
      <c r="AB13" s="58">
        <f>0</f>
        <v>0</v>
      </c>
      <c r="AC13" s="58">
        <f>0</f>
        <v>0</v>
      </c>
      <c r="AD13" s="58">
        <f>0</f>
        <v>0</v>
      </c>
      <c r="AE13" s="58">
        <f>0</f>
        <v>0</v>
      </c>
      <c r="AF13" s="58">
        <f>0</f>
        <v>0</v>
      </c>
      <c r="AG13" s="58">
        <f>0</f>
        <v>0</v>
      </c>
      <c r="AH13" s="58">
        <f>0</f>
        <v>0</v>
      </c>
      <c r="AI13" s="58">
        <f>0</f>
        <v>0</v>
      </c>
      <c r="AJ13" s="58">
        <f>0</f>
        <v>0</v>
      </c>
      <c r="AK13" s="58">
        <f>0</f>
        <v>0</v>
      </c>
      <c r="AL13" s="59">
        <f>0</f>
        <v>0</v>
      </c>
    </row>
    <row r="14" spans="1:39" ht="15" customHeight="1" outlineLevel="3">
      <c r="A14" s="375" t="s">
        <v>31</v>
      </c>
      <c r="B14" s="48" t="s">
        <v>57</v>
      </c>
      <c r="C14" s="354"/>
      <c r="D14" s="356" t="s">
        <v>30</v>
      </c>
      <c r="E14" s="93">
        <f>92937.99</f>
        <v>92937.99</v>
      </c>
      <c r="F14" s="55">
        <f>125090.2</f>
        <v>125090.2</v>
      </c>
      <c r="G14" s="55">
        <f>260000</f>
        <v>260000</v>
      </c>
      <c r="H14" s="56">
        <f>195725.78</f>
        <v>195725.78</v>
      </c>
      <c r="I14" s="57">
        <f>1620000</f>
        <v>1620000</v>
      </c>
      <c r="J14" s="58">
        <f>300000</f>
        <v>300000</v>
      </c>
      <c r="K14" s="58">
        <f t="shared" si="0"/>
        <v>300000</v>
      </c>
      <c r="L14" s="58">
        <f t="shared" si="0"/>
        <v>300000</v>
      </c>
      <c r="M14" s="58">
        <f t="shared" si="0"/>
        <v>300000</v>
      </c>
      <c r="N14" s="58">
        <f t="shared" si="0"/>
        <v>300000</v>
      </c>
      <c r="O14" s="58">
        <f t="shared" si="0"/>
        <v>300000</v>
      </c>
      <c r="P14" s="58">
        <f t="shared" si="0"/>
        <v>300000</v>
      </c>
      <c r="Q14" s="58">
        <f t="shared" si="0"/>
        <v>300000</v>
      </c>
      <c r="R14" s="58">
        <f t="shared" si="0"/>
        <v>300000</v>
      </c>
      <c r="S14" s="58">
        <f t="shared" si="0"/>
        <v>300000</v>
      </c>
      <c r="T14" s="58">
        <f t="shared" si="0"/>
        <v>300000</v>
      </c>
      <c r="U14" s="58">
        <f t="shared" si="0"/>
        <v>300000</v>
      </c>
      <c r="V14" s="58">
        <f>0</f>
        <v>0</v>
      </c>
      <c r="W14" s="58">
        <f>0</f>
        <v>0</v>
      </c>
      <c r="X14" s="58">
        <f>0</f>
        <v>0</v>
      </c>
      <c r="Y14" s="58">
        <f>0</f>
        <v>0</v>
      </c>
      <c r="Z14" s="58">
        <f>0</f>
        <v>0</v>
      </c>
      <c r="AA14" s="58">
        <f>0</f>
        <v>0</v>
      </c>
      <c r="AB14" s="58">
        <f>0</f>
        <v>0</v>
      </c>
      <c r="AC14" s="58">
        <f>0</f>
        <v>0</v>
      </c>
      <c r="AD14" s="58">
        <f>0</f>
        <v>0</v>
      </c>
      <c r="AE14" s="58">
        <f>0</f>
        <v>0</v>
      </c>
      <c r="AF14" s="58">
        <f>0</f>
        <v>0</v>
      </c>
      <c r="AG14" s="58">
        <f>0</f>
        <v>0</v>
      </c>
      <c r="AH14" s="58">
        <f>0</f>
        <v>0</v>
      </c>
      <c r="AI14" s="58">
        <f>0</f>
        <v>0</v>
      </c>
      <c r="AJ14" s="58">
        <f>0</f>
        <v>0</v>
      </c>
      <c r="AK14" s="58">
        <f>0</f>
        <v>0</v>
      </c>
      <c r="AL14" s="59">
        <f>0</f>
        <v>0</v>
      </c>
    </row>
    <row r="15" spans="1:39" ht="15" customHeight="1" outlineLevel="3">
      <c r="B15" s="48" t="s">
        <v>59</v>
      </c>
      <c r="C15" s="354"/>
      <c r="D15" s="356" t="s">
        <v>221</v>
      </c>
      <c r="E15" s="93">
        <f>2937655.22</f>
        <v>2937655.22</v>
      </c>
      <c r="F15" s="55">
        <f>1605522</f>
        <v>1605522</v>
      </c>
      <c r="G15" s="55">
        <f>0</f>
        <v>0</v>
      </c>
      <c r="H15" s="56">
        <f>2325716.35</f>
        <v>2325716.35</v>
      </c>
      <c r="I15" s="57">
        <f>978221.25</f>
        <v>978221.25</v>
      </c>
      <c r="J15" s="58">
        <f>3150344</f>
        <v>3150344</v>
      </c>
      <c r="K15" s="58">
        <f>0</f>
        <v>0</v>
      </c>
      <c r="L15" s="58">
        <f>0</f>
        <v>0</v>
      </c>
      <c r="M15" s="58">
        <f>0</f>
        <v>0</v>
      </c>
      <c r="N15" s="58">
        <f>0</f>
        <v>0</v>
      </c>
      <c r="O15" s="58">
        <f>0</f>
        <v>0</v>
      </c>
      <c r="P15" s="58">
        <f>0</f>
        <v>0</v>
      </c>
      <c r="Q15" s="58">
        <f>0</f>
        <v>0</v>
      </c>
      <c r="R15" s="58">
        <f>0</f>
        <v>0</v>
      </c>
      <c r="S15" s="58">
        <f>0</f>
        <v>0</v>
      </c>
      <c r="T15" s="58">
        <f>0</f>
        <v>0</v>
      </c>
      <c r="U15" s="58">
        <f>0</f>
        <v>0</v>
      </c>
      <c r="V15" s="58">
        <f>0</f>
        <v>0</v>
      </c>
      <c r="W15" s="58">
        <f>0</f>
        <v>0</v>
      </c>
      <c r="X15" s="58">
        <f>0</f>
        <v>0</v>
      </c>
      <c r="Y15" s="58">
        <f>0</f>
        <v>0</v>
      </c>
      <c r="Z15" s="58">
        <f>0</f>
        <v>0</v>
      </c>
      <c r="AA15" s="58">
        <f>0</f>
        <v>0</v>
      </c>
      <c r="AB15" s="58">
        <f>0</f>
        <v>0</v>
      </c>
      <c r="AC15" s="58">
        <f>0</f>
        <v>0</v>
      </c>
      <c r="AD15" s="58">
        <f>0</f>
        <v>0</v>
      </c>
      <c r="AE15" s="58">
        <f>0</f>
        <v>0</v>
      </c>
      <c r="AF15" s="58">
        <f>0</f>
        <v>0</v>
      </c>
      <c r="AG15" s="58">
        <f>0</f>
        <v>0</v>
      </c>
      <c r="AH15" s="58">
        <f>0</f>
        <v>0</v>
      </c>
      <c r="AI15" s="58">
        <f>0</f>
        <v>0</v>
      </c>
      <c r="AJ15" s="58">
        <f>0</f>
        <v>0</v>
      </c>
      <c r="AK15" s="58">
        <f>0</f>
        <v>0</v>
      </c>
      <c r="AL15" s="59">
        <f>0</f>
        <v>0</v>
      </c>
    </row>
    <row r="16" spans="1:39" ht="15" customHeight="1" outlineLevel="1">
      <c r="A16" s="375" t="s">
        <v>31</v>
      </c>
      <c r="B16" s="47">
        <v>2</v>
      </c>
      <c r="C16" s="376"/>
      <c r="D16" s="353" t="s">
        <v>21</v>
      </c>
      <c r="E16" s="92">
        <f>18764728.81</f>
        <v>18764728.809999999</v>
      </c>
      <c r="F16" s="50">
        <f>22266908</f>
        <v>22266908</v>
      </c>
      <c r="G16" s="50">
        <f>20656887.92</f>
        <v>20656887.920000002</v>
      </c>
      <c r="H16" s="51">
        <f>18408779.1</f>
        <v>18408779.100000001</v>
      </c>
      <c r="I16" s="52">
        <f>20320889.75</f>
        <v>20320889.75</v>
      </c>
      <c r="J16" s="53">
        <f>19193344</f>
        <v>19193344</v>
      </c>
      <c r="K16" s="53">
        <f>17500000</f>
        <v>17500000</v>
      </c>
      <c r="L16" s="53">
        <f>17543950</f>
        <v>17543950</v>
      </c>
      <c r="M16" s="53">
        <f>17637269</f>
        <v>17637269</v>
      </c>
      <c r="N16" s="53">
        <f>17945387</f>
        <v>17945387</v>
      </c>
      <c r="O16" s="53">
        <f>17568748</f>
        <v>17568748</v>
      </c>
      <c r="P16" s="53">
        <f>17507811</f>
        <v>17507811</v>
      </c>
      <c r="Q16" s="53">
        <f>18163045</f>
        <v>18163045</v>
      </c>
      <c r="R16" s="53">
        <f>18604936</f>
        <v>18604936</v>
      </c>
      <c r="S16" s="53">
        <f>19013984</f>
        <v>19013984</v>
      </c>
      <c r="T16" s="53">
        <f>19582704</f>
        <v>19582704</v>
      </c>
      <c r="U16" s="53">
        <f>21012625</f>
        <v>21012625</v>
      </c>
      <c r="V16" s="53">
        <f>0</f>
        <v>0</v>
      </c>
      <c r="W16" s="53">
        <f>0</f>
        <v>0</v>
      </c>
      <c r="X16" s="53">
        <f>0</f>
        <v>0</v>
      </c>
      <c r="Y16" s="53">
        <f>0</f>
        <v>0</v>
      </c>
      <c r="Z16" s="53">
        <f>0</f>
        <v>0</v>
      </c>
      <c r="AA16" s="53">
        <f>0</f>
        <v>0</v>
      </c>
      <c r="AB16" s="53">
        <f>0</f>
        <v>0</v>
      </c>
      <c r="AC16" s="53">
        <f>0</f>
        <v>0</v>
      </c>
      <c r="AD16" s="53">
        <f>0</f>
        <v>0</v>
      </c>
      <c r="AE16" s="53">
        <f>0</f>
        <v>0</v>
      </c>
      <c r="AF16" s="53">
        <f>0</f>
        <v>0</v>
      </c>
      <c r="AG16" s="53">
        <f>0</f>
        <v>0</v>
      </c>
      <c r="AH16" s="53">
        <f>0</f>
        <v>0</v>
      </c>
      <c r="AI16" s="53">
        <f>0</f>
        <v>0</v>
      </c>
      <c r="AJ16" s="53">
        <f>0</f>
        <v>0</v>
      </c>
      <c r="AK16" s="53">
        <f>0</f>
        <v>0</v>
      </c>
      <c r="AL16" s="54">
        <f>0</f>
        <v>0</v>
      </c>
      <c r="AM16" s="43"/>
    </row>
    <row r="17" spans="1:39" ht="15" customHeight="1" outlineLevel="2">
      <c r="A17" s="375" t="s">
        <v>31</v>
      </c>
      <c r="B17" s="48" t="s">
        <v>166</v>
      </c>
      <c r="C17" s="354"/>
      <c r="D17" s="355" t="s">
        <v>222</v>
      </c>
      <c r="E17" s="93">
        <f>14183688.6</f>
        <v>14183688.6</v>
      </c>
      <c r="F17" s="55">
        <f>14121187.48</f>
        <v>14121187.48</v>
      </c>
      <c r="G17" s="55">
        <f>15825527.92</f>
        <v>15825527.92</v>
      </c>
      <c r="H17" s="56">
        <f>15466263.53</f>
        <v>15466263.529999999</v>
      </c>
      <c r="I17" s="57">
        <f>16881117.5</f>
        <v>16881117.5</v>
      </c>
      <c r="J17" s="58">
        <f>16272983</f>
        <v>16272983</v>
      </c>
      <c r="K17" s="58">
        <f>16273673</f>
        <v>16273673</v>
      </c>
      <c r="L17" s="58">
        <f>16346533</f>
        <v>16346533</v>
      </c>
      <c r="M17" s="58">
        <f>16533929</f>
        <v>16533929</v>
      </c>
      <c r="N17" s="58">
        <f>16741237</f>
        <v>16741237</v>
      </c>
      <c r="O17" s="58">
        <f>17061844</f>
        <v>17061844</v>
      </c>
      <c r="P17" s="58">
        <f>17260149</f>
        <v>17260149</v>
      </c>
      <c r="Q17" s="58">
        <f>16966564</f>
        <v>16966564</v>
      </c>
      <c r="R17" s="58">
        <f>17393510</f>
        <v>17393510</v>
      </c>
      <c r="S17" s="58">
        <f>17827425</f>
        <v>17827425</v>
      </c>
      <c r="T17" s="58">
        <f>18266759</f>
        <v>18266759</v>
      </c>
      <c r="U17" s="58">
        <f>18718971</f>
        <v>18718971</v>
      </c>
      <c r="V17" s="58">
        <f>0</f>
        <v>0</v>
      </c>
      <c r="W17" s="58">
        <f>0</f>
        <v>0</v>
      </c>
      <c r="X17" s="58">
        <f>0</f>
        <v>0</v>
      </c>
      <c r="Y17" s="58">
        <f>0</f>
        <v>0</v>
      </c>
      <c r="Z17" s="58">
        <f>0</f>
        <v>0</v>
      </c>
      <c r="AA17" s="58">
        <f>0</f>
        <v>0</v>
      </c>
      <c r="AB17" s="58">
        <f>0</f>
        <v>0</v>
      </c>
      <c r="AC17" s="58">
        <f>0</f>
        <v>0</v>
      </c>
      <c r="AD17" s="58">
        <f>0</f>
        <v>0</v>
      </c>
      <c r="AE17" s="58">
        <f>0</f>
        <v>0</v>
      </c>
      <c r="AF17" s="58">
        <f>0</f>
        <v>0</v>
      </c>
      <c r="AG17" s="58">
        <f>0</f>
        <v>0</v>
      </c>
      <c r="AH17" s="58">
        <f>0</f>
        <v>0</v>
      </c>
      <c r="AI17" s="58">
        <f>0</f>
        <v>0</v>
      </c>
      <c r="AJ17" s="58">
        <f>0</f>
        <v>0</v>
      </c>
      <c r="AK17" s="58">
        <f>0</f>
        <v>0</v>
      </c>
      <c r="AL17" s="59">
        <f>0</f>
        <v>0</v>
      </c>
    </row>
    <row r="18" spans="1:39" ht="15" customHeight="1" outlineLevel="3">
      <c r="A18" s="375" t="s">
        <v>31</v>
      </c>
      <c r="B18" s="48" t="s">
        <v>62</v>
      </c>
      <c r="C18" s="354"/>
      <c r="D18" s="356" t="s">
        <v>223</v>
      </c>
      <c r="E18" s="93">
        <f>0</f>
        <v>0</v>
      </c>
      <c r="F18" s="55">
        <f>0</f>
        <v>0</v>
      </c>
      <c r="G18" s="55">
        <f>0</f>
        <v>0</v>
      </c>
      <c r="H18" s="56">
        <f>0</f>
        <v>0</v>
      </c>
      <c r="I18" s="57">
        <f>0</f>
        <v>0</v>
      </c>
      <c r="J18" s="58">
        <f>0</f>
        <v>0</v>
      </c>
      <c r="K18" s="58">
        <f>0</f>
        <v>0</v>
      </c>
      <c r="L18" s="58">
        <f>0</f>
        <v>0</v>
      </c>
      <c r="M18" s="58">
        <f>0</f>
        <v>0</v>
      </c>
      <c r="N18" s="58">
        <f>0</f>
        <v>0</v>
      </c>
      <c r="O18" s="58">
        <f>0</f>
        <v>0</v>
      </c>
      <c r="P18" s="58">
        <f>0</f>
        <v>0</v>
      </c>
      <c r="Q18" s="58">
        <f>0</f>
        <v>0</v>
      </c>
      <c r="R18" s="58">
        <f>0</f>
        <v>0</v>
      </c>
      <c r="S18" s="58">
        <f>0</f>
        <v>0</v>
      </c>
      <c r="T18" s="58">
        <f>0</f>
        <v>0</v>
      </c>
      <c r="U18" s="58">
        <f>0</f>
        <v>0</v>
      </c>
      <c r="V18" s="58">
        <f>0</f>
        <v>0</v>
      </c>
      <c r="W18" s="58">
        <f>0</f>
        <v>0</v>
      </c>
      <c r="X18" s="58">
        <f>0</f>
        <v>0</v>
      </c>
      <c r="Y18" s="58">
        <f>0</f>
        <v>0</v>
      </c>
      <c r="Z18" s="58">
        <f>0</f>
        <v>0</v>
      </c>
      <c r="AA18" s="58">
        <f>0</f>
        <v>0</v>
      </c>
      <c r="AB18" s="58">
        <f>0</f>
        <v>0</v>
      </c>
      <c r="AC18" s="58">
        <f>0</f>
        <v>0</v>
      </c>
      <c r="AD18" s="58">
        <f>0</f>
        <v>0</v>
      </c>
      <c r="AE18" s="58">
        <f>0</f>
        <v>0</v>
      </c>
      <c r="AF18" s="58">
        <f>0</f>
        <v>0</v>
      </c>
      <c r="AG18" s="58">
        <f>0</f>
        <v>0</v>
      </c>
      <c r="AH18" s="58">
        <f>0</f>
        <v>0</v>
      </c>
      <c r="AI18" s="58">
        <f>0</f>
        <v>0</v>
      </c>
      <c r="AJ18" s="58">
        <f>0</f>
        <v>0</v>
      </c>
      <c r="AK18" s="58">
        <f>0</f>
        <v>0</v>
      </c>
      <c r="AL18" s="59">
        <f>0</f>
        <v>0</v>
      </c>
    </row>
    <row r="19" spans="1:39" ht="48" customHeight="1" outlineLevel="3">
      <c r="A19" s="375" t="s">
        <v>31</v>
      </c>
      <c r="B19" s="48" t="s">
        <v>64</v>
      </c>
      <c r="C19" s="354"/>
      <c r="D19" s="357" t="s">
        <v>450</v>
      </c>
      <c r="E19" s="93">
        <f>0</f>
        <v>0</v>
      </c>
      <c r="F19" s="55">
        <f>0</f>
        <v>0</v>
      </c>
      <c r="G19" s="55">
        <f>0</f>
        <v>0</v>
      </c>
      <c r="H19" s="56">
        <f>0</f>
        <v>0</v>
      </c>
      <c r="I19" s="57">
        <f>0</f>
        <v>0</v>
      </c>
      <c r="J19" s="58">
        <f>0</f>
        <v>0</v>
      </c>
      <c r="K19" s="58">
        <f>0</f>
        <v>0</v>
      </c>
      <c r="L19" s="58">
        <f>0</f>
        <v>0</v>
      </c>
      <c r="M19" s="58">
        <f>0</f>
        <v>0</v>
      </c>
      <c r="N19" s="58">
        <f>0</f>
        <v>0</v>
      </c>
      <c r="O19" s="58">
        <f>0</f>
        <v>0</v>
      </c>
      <c r="P19" s="58">
        <f>0</f>
        <v>0</v>
      </c>
      <c r="Q19" s="58">
        <f>0</f>
        <v>0</v>
      </c>
      <c r="R19" s="58">
        <f>0</f>
        <v>0</v>
      </c>
      <c r="S19" s="58">
        <f>0</f>
        <v>0</v>
      </c>
      <c r="T19" s="58">
        <f>0</f>
        <v>0</v>
      </c>
      <c r="U19" s="58">
        <f>0</f>
        <v>0</v>
      </c>
      <c r="V19" s="58">
        <f>0</f>
        <v>0</v>
      </c>
      <c r="W19" s="58">
        <f>0</f>
        <v>0</v>
      </c>
      <c r="X19" s="58">
        <f>0</f>
        <v>0</v>
      </c>
      <c r="Y19" s="58">
        <f>0</f>
        <v>0</v>
      </c>
      <c r="Z19" s="58">
        <f>0</f>
        <v>0</v>
      </c>
      <c r="AA19" s="58">
        <f>0</f>
        <v>0</v>
      </c>
      <c r="AB19" s="58">
        <f>0</f>
        <v>0</v>
      </c>
      <c r="AC19" s="58">
        <f>0</f>
        <v>0</v>
      </c>
      <c r="AD19" s="58">
        <f>0</f>
        <v>0</v>
      </c>
      <c r="AE19" s="58">
        <f>0</f>
        <v>0</v>
      </c>
      <c r="AF19" s="58">
        <f>0</f>
        <v>0</v>
      </c>
      <c r="AG19" s="58">
        <f>0</f>
        <v>0</v>
      </c>
      <c r="AH19" s="58">
        <f>0</f>
        <v>0</v>
      </c>
      <c r="AI19" s="58">
        <f>0</f>
        <v>0</v>
      </c>
      <c r="AJ19" s="58">
        <f>0</f>
        <v>0</v>
      </c>
      <c r="AK19" s="58">
        <f>0</f>
        <v>0</v>
      </c>
      <c r="AL19" s="59">
        <f>0</f>
        <v>0</v>
      </c>
    </row>
    <row r="20" spans="1:39" ht="39" customHeight="1" outlineLevel="3">
      <c r="B20" s="48" t="s">
        <v>66</v>
      </c>
      <c r="C20" s="354"/>
      <c r="D20" s="356" t="s">
        <v>451</v>
      </c>
      <c r="E20" s="94" t="s">
        <v>31</v>
      </c>
      <c r="F20" s="60" t="s">
        <v>31</v>
      </c>
      <c r="G20" s="60" t="s">
        <v>31</v>
      </c>
      <c r="H20" s="61" t="s">
        <v>31</v>
      </c>
      <c r="I20" s="57">
        <f>0</f>
        <v>0</v>
      </c>
      <c r="J20" s="58">
        <f>0</f>
        <v>0</v>
      </c>
      <c r="K20" s="58">
        <f>0</f>
        <v>0</v>
      </c>
      <c r="L20" s="58">
        <f>0</f>
        <v>0</v>
      </c>
      <c r="M20" s="58">
        <f>0</f>
        <v>0</v>
      </c>
      <c r="N20" s="58">
        <f>0</f>
        <v>0</v>
      </c>
      <c r="O20" s="58">
        <f>0</f>
        <v>0</v>
      </c>
      <c r="P20" s="58">
        <f>0</f>
        <v>0</v>
      </c>
      <c r="Q20" s="58">
        <f>0</f>
        <v>0</v>
      </c>
      <c r="R20" s="58">
        <f>0</f>
        <v>0</v>
      </c>
      <c r="S20" s="58">
        <f>0</f>
        <v>0</v>
      </c>
      <c r="T20" s="58">
        <f>0</f>
        <v>0</v>
      </c>
      <c r="U20" s="58">
        <f>0</f>
        <v>0</v>
      </c>
      <c r="V20" s="58">
        <f>0</f>
        <v>0</v>
      </c>
      <c r="W20" s="58">
        <f>0</f>
        <v>0</v>
      </c>
      <c r="X20" s="58">
        <f>0</f>
        <v>0</v>
      </c>
      <c r="Y20" s="58">
        <f>0</f>
        <v>0</v>
      </c>
      <c r="Z20" s="58">
        <f>0</f>
        <v>0</v>
      </c>
      <c r="AA20" s="58">
        <f>0</f>
        <v>0</v>
      </c>
      <c r="AB20" s="58">
        <f>0</f>
        <v>0</v>
      </c>
      <c r="AC20" s="58">
        <f>0</f>
        <v>0</v>
      </c>
      <c r="AD20" s="58">
        <f>0</f>
        <v>0</v>
      </c>
      <c r="AE20" s="58">
        <f>0</f>
        <v>0</v>
      </c>
      <c r="AF20" s="58">
        <f>0</f>
        <v>0</v>
      </c>
      <c r="AG20" s="58">
        <f>0</f>
        <v>0</v>
      </c>
      <c r="AH20" s="58">
        <f>0</f>
        <v>0</v>
      </c>
      <c r="AI20" s="58">
        <f>0</f>
        <v>0</v>
      </c>
      <c r="AJ20" s="58">
        <f>0</f>
        <v>0</v>
      </c>
      <c r="AK20" s="58">
        <f>0</f>
        <v>0</v>
      </c>
      <c r="AL20" s="59">
        <f>0</f>
        <v>0</v>
      </c>
    </row>
    <row r="21" spans="1:39" ht="15" customHeight="1" outlineLevel="3">
      <c r="A21" s="375" t="s">
        <v>31</v>
      </c>
      <c r="B21" s="48" t="s">
        <v>68</v>
      </c>
      <c r="C21" s="354"/>
      <c r="D21" s="356" t="s">
        <v>224</v>
      </c>
      <c r="E21" s="93">
        <f>120758.49</f>
        <v>120758.49</v>
      </c>
      <c r="F21" s="55">
        <f>467814.33</f>
        <v>467814.33</v>
      </c>
      <c r="G21" s="55">
        <f>679120</f>
        <v>679120</v>
      </c>
      <c r="H21" s="56">
        <f>695470.76</f>
        <v>695470.76</v>
      </c>
      <c r="I21" s="57">
        <f>769690</f>
        <v>769690</v>
      </c>
      <c r="J21" s="58">
        <f>550000</f>
        <v>550000</v>
      </c>
      <c r="K21" s="58">
        <f>645000</f>
        <v>645000</v>
      </c>
      <c r="L21" s="58">
        <f>600000</f>
        <v>600000</v>
      </c>
      <c r="M21" s="58">
        <f>557000</f>
        <v>557000</v>
      </c>
      <c r="N21" s="58">
        <f>521000</f>
        <v>521000</v>
      </c>
      <c r="O21" s="58">
        <f>485000</f>
        <v>485000</v>
      </c>
      <c r="P21" s="58">
        <f>413000</f>
        <v>413000</v>
      </c>
      <c r="Q21" s="58">
        <f>335000</f>
        <v>335000</v>
      </c>
      <c r="R21" s="58">
        <f>263000</f>
        <v>263000</v>
      </c>
      <c r="S21" s="58">
        <f>183000</f>
        <v>183000</v>
      </c>
      <c r="T21" s="58">
        <f>93000</f>
        <v>93000</v>
      </c>
      <c r="U21" s="58">
        <f>31950</f>
        <v>31950</v>
      </c>
      <c r="V21" s="58">
        <f>0</f>
        <v>0</v>
      </c>
      <c r="W21" s="58">
        <f>0</f>
        <v>0</v>
      </c>
      <c r="X21" s="58">
        <f>0</f>
        <v>0</v>
      </c>
      <c r="Y21" s="58">
        <f>0</f>
        <v>0</v>
      </c>
      <c r="Z21" s="58">
        <f>0</f>
        <v>0</v>
      </c>
      <c r="AA21" s="58">
        <f>0</f>
        <v>0</v>
      </c>
      <c r="AB21" s="58">
        <f>0</f>
        <v>0</v>
      </c>
      <c r="AC21" s="58">
        <f>0</f>
        <v>0</v>
      </c>
      <c r="AD21" s="58">
        <f>0</f>
        <v>0</v>
      </c>
      <c r="AE21" s="58">
        <f>0</f>
        <v>0</v>
      </c>
      <c r="AF21" s="58">
        <f>0</f>
        <v>0</v>
      </c>
      <c r="AG21" s="58">
        <f>0</f>
        <v>0</v>
      </c>
      <c r="AH21" s="58">
        <f>0</f>
        <v>0</v>
      </c>
      <c r="AI21" s="58">
        <f>0</f>
        <v>0</v>
      </c>
      <c r="AJ21" s="58">
        <f>0</f>
        <v>0</v>
      </c>
      <c r="AK21" s="58">
        <f>0</f>
        <v>0</v>
      </c>
      <c r="AL21" s="59">
        <f>0</f>
        <v>0</v>
      </c>
    </row>
    <row r="22" spans="1:39" ht="15" customHeight="1" outlineLevel="3">
      <c r="A22" s="375" t="s">
        <v>31</v>
      </c>
      <c r="B22" s="48" t="s">
        <v>70</v>
      </c>
      <c r="C22" s="354"/>
      <c r="D22" s="357" t="s">
        <v>225</v>
      </c>
      <c r="E22" s="93">
        <f>106758.49</f>
        <v>106758.49</v>
      </c>
      <c r="F22" s="55">
        <f>439714.33</f>
        <v>439714.33</v>
      </c>
      <c r="G22" s="55">
        <f>669120</f>
        <v>669120</v>
      </c>
      <c r="H22" s="56">
        <f>685470.76</f>
        <v>685470.76</v>
      </c>
      <c r="I22" s="57">
        <f>759690</f>
        <v>759690</v>
      </c>
      <c r="J22" s="58">
        <f>550000</f>
        <v>550000</v>
      </c>
      <c r="K22" s="58">
        <f>645000</f>
        <v>645000</v>
      </c>
      <c r="L22" s="58">
        <f>600000</f>
        <v>600000</v>
      </c>
      <c r="M22" s="58">
        <f>557000</f>
        <v>557000</v>
      </c>
      <c r="N22" s="58">
        <f>521000</f>
        <v>521000</v>
      </c>
      <c r="O22" s="58">
        <f>485000</f>
        <v>485000</v>
      </c>
      <c r="P22" s="58">
        <f>413000</f>
        <v>413000</v>
      </c>
      <c r="Q22" s="58">
        <f>335000</f>
        <v>335000</v>
      </c>
      <c r="R22" s="58">
        <f>263000</f>
        <v>263000</v>
      </c>
      <c r="S22" s="58">
        <f>183000</f>
        <v>183000</v>
      </c>
      <c r="T22" s="58">
        <f>93000</f>
        <v>93000</v>
      </c>
      <c r="U22" s="58">
        <f>31950</f>
        <v>31950</v>
      </c>
      <c r="V22" s="58">
        <f>0</f>
        <v>0</v>
      </c>
      <c r="W22" s="58">
        <f>0</f>
        <v>0</v>
      </c>
      <c r="X22" s="58">
        <f>0</f>
        <v>0</v>
      </c>
      <c r="Y22" s="58">
        <f>0</f>
        <v>0</v>
      </c>
      <c r="Z22" s="58">
        <f>0</f>
        <v>0</v>
      </c>
      <c r="AA22" s="58">
        <f>0</f>
        <v>0</v>
      </c>
      <c r="AB22" s="58">
        <f>0</f>
        <v>0</v>
      </c>
      <c r="AC22" s="58">
        <f>0</f>
        <v>0</v>
      </c>
      <c r="AD22" s="58">
        <f>0</f>
        <v>0</v>
      </c>
      <c r="AE22" s="58">
        <f>0</f>
        <v>0</v>
      </c>
      <c r="AF22" s="58">
        <f>0</f>
        <v>0</v>
      </c>
      <c r="AG22" s="58">
        <f>0</f>
        <v>0</v>
      </c>
      <c r="AH22" s="58">
        <f>0</f>
        <v>0</v>
      </c>
      <c r="AI22" s="58">
        <f>0</f>
        <v>0</v>
      </c>
      <c r="AJ22" s="58">
        <f>0</f>
        <v>0</v>
      </c>
      <c r="AK22" s="58">
        <f>0</f>
        <v>0</v>
      </c>
      <c r="AL22" s="59">
        <f>0</f>
        <v>0</v>
      </c>
    </row>
    <row r="23" spans="1:39" ht="15" customHeight="1" outlineLevel="2">
      <c r="A23" s="375" t="s">
        <v>31</v>
      </c>
      <c r="B23" s="48" t="s">
        <v>167</v>
      </c>
      <c r="C23" s="354"/>
      <c r="D23" s="355" t="s">
        <v>22</v>
      </c>
      <c r="E23" s="93">
        <f>4581040.21</f>
        <v>4581040.21</v>
      </c>
      <c r="F23" s="55">
        <f>8145720.52</f>
        <v>8145720.5199999996</v>
      </c>
      <c r="G23" s="55">
        <f>4831360</f>
        <v>4831360</v>
      </c>
      <c r="H23" s="56">
        <f>2942515.57</f>
        <v>2942515.57</v>
      </c>
      <c r="I23" s="57">
        <f>3439772.25</f>
        <v>3439772.25</v>
      </c>
      <c r="J23" s="58">
        <f>2920361</f>
        <v>2920361</v>
      </c>
      <c r="K23" s="58">
        <f>1226327</f>
        <v>1226327</v>
      </c>
      <c r="L23" s="58">
        <f>1197417</f>
        <v>1197417</v>
      </c>
      <c r="M23" s="58">
        <f>1103340</f>
        <v>1103340</v>
      </c>
      <c r="N23" s="58">
        <f>1204150</f>
        <v>1204150</v>
      </c>
      <c r="O23" s="58">
        <f>506904</f>
        <v>506904</v>
      </c>
      <c r="P23" s="58">
        <f>247662</f>
        <v>247662</v>
      </c>
      <c r="Q23" s="58">
        <f>1196481</f>
        <v>1196481</v>
      </c>
      <c r="R23" s="58">
        <f>1211426</f>
        <v>1211426</v>
      </c>
      <c r="S23" s="58">
        <f>1186559</f>
        <v>1186559</v>
      </c>
      <c r="T23" s="58">
        <f>1315945</f>
        <v>1315945</v>
      </c>
      <c r="U23" s="58">
        <f>2293654</f>
        <v>2293654</v>
      </c>
      <c r="V23" s="58">
        <f>0</f>
        <v>0</v>
      </c>
      <c r="W23" s="58">
        <f>0</f>
        <v>0</v>
      </c>
      <c r="X23" s="58">
        <f>0</f>
        <v>0</v>
      </c>
      <c r="Y23" s="58">
        <f>0</f>
        <v>0</v>
      </c>
      <c r="Z23" s="58">
        <f>0</f>
        <v>0</v>
      </c>
      <c r="AA23" s="58">
        <f>0</f>
        <v>0</v>
      </c>
      <c r="AB23" s="58">
        <f>0</f>
        <v>0</v>
      </c>
      <c r="AC23" s="58">
        <f>0</f>
        <v>0</v>
      </c>
      <c r="AD23" s="58">
        <f>0</f>
        <v>0</v>
      </c>
      <c r="AE23" s="58">
        <f>0</f>
        <v>0</v>
      </c>
      <c r="AF23" s="58">
        <f>0</f>
        <v>0</v>
      </c>
      <c r="AG23" s="58">
        <f>0</f>
        <v>0</v>
      </c>
      <c r="AH23" s="58">
        <f>0</f>
        <v>0</v>
      </c>
      <c r="AI23" s="58">
        <f>0</f>
        <v>0</v>
      </c>
      <c r="AJ23" s="58">
        <f>0</f>
        <v>0</v>
      </c>
      <c r="AK23" s="58">
        <f>0</f>
        <v>0</v>
      </c>
      <c r="AL23" s="59">
        <f>0</f>
        <v>0</v>
      </c>
    </row>
    <row r="24" spans="1:39" ht="15" customHeight="1" outlineLevel="1">
      <c r="A24" s="375" t="s">
        <v>31</v>
      </c>
      <c r="B24" s="47">
        <v>3</v>
      </c>
      <c r="C24" s="376"/>
      <c r="D24" s="353" t="s">
        <v>23</v>
      </c>
      <c r="E24" s="92">
        <f>-2404070.91</f>
        <v>-2404070.91</v>
      </c>
      <c r="F24" s="50">
        <f>-6401042.84</f>
        <v>-6401042.8399999999</v>
      </c>
      <c r="G24" s="50">
        <f>-2236019</f>
        <v>-2236019</v>
      </c>
      <c r="H24" s="51">
        <f>101831.3</f>
        <v>101831.3</v>
      </c>
      <c r="I24" s="52">
        <f>-1247000</f>
        <v>-1247000</v>
      </c>
      <c r="J24" s="53">
        <f>1057000</f>
        <v>1057000</v>
      </c>
      <c r="K24" s="53">
        <f>100000</f>
        <v>100000</v>
      </c>
      <c r="L24" s="53">
        <f>400000</f>
        <v>400000</v>
      </c>
      <c r="M24" s="53">
        <f>600000</f>
        <v>600000</v>
      </c>
      <c r="N24" s="53">
        <f>600000</f>
        <v>600000</v>
      </c>
      <c r="O24" s="53">
        <f>1200000</f>
        <v>1200000</v>
      </c>
      <c r="P24" s="53">
        <f>1300000</f>
        <v>1300000</v>
      </c>
      <c r="Q24" s="53">
        <f>1200000</f>
        <v>1200000</v>
      </c>
      <c r="R24" s="53">
        <f>1330000</f>
        <v>1330000</v>
      </c>
      <c r="S24" s="53">
        <f>1510000</f>
        <v>1510000</v>
      </c>
      <c r="T24" s="53">
        <f>1548000</f>
        <v>1548000</v>
      </c>
      <c r="U24" s="53">
        <f>743000</f>
        <v>743000</v>
      </c>
      <c r="V24" s="53">
        <f>0</f>
        <v>0</v>
      </c>
      <c r="W24" s="53">
        <f>0</f>
        <v>0</v>
      </c>
      <c r="X24" s="53">
        <f>0</f>
        <v>0</v>
      </c>
      <c r="Y24" s="53">
        <f>0</f>
        <v>0</v>
      </c>
      <c r="Z24" s="53">
        <f>0</f>
        <v>0</v>
      </c>
      <c r="AA24" s="53">
        <f>0</f>
        <v>0</v>
      </c>
      <c r="AB24" s="53">
        <f>0</f>
        <v>0</v>
      </c>
      <c r="AC24" s="53">
        <f>0</f>
        <v>0</v>
      </c>
      <c r="AD24" s="53">
        <f>0</f>
        <v>0</v>
      </c>
      <c r="AE24" s="53">
        <f>0</f>
        <v>0</v>
      </c>
      <c r="AF24" s="53">
        <f>0</f>
        <v>0</v>
      </c>
      <c r="AG24" s="53">
        <f>0</f>
        <v>0</v>
      </c>
      <c r="AH24" s="53">
        <f>0</f>
        <v>0</v>
      </c>
      <c r="AI24" s="53">
        <f>0</f>
        <v>0</v>
      </c>
      <c r="AJ24" s="53">
        <f>0</f>
        <v>0</v>
      </c>
      <c r="AK24" s="53">
        <f>0</f>
        <v>0</v>
      </c>
      <c r="AL24" s="54">
        <f>0</f>
        <v>0</v>
      </c>
      <c r="AM24" s="43"/>
    </row>
    <row r="25" spans="1:39" ht="15" customHeight="1" outlineLevel="1">
      <c r="A25" s="375" t="s">
        <v>31</v>
      </c>
      <c r="B25" s="47">
        <v>4</v>
      </c>
      <c r="C25" s="376"/>
      <c r="D25" s="353" t="s">
        <v>24</v>
      </c>
      <c r="E25" s="92">
        <f>5530000</f>
        <v>5530000</v>
      </c>
      <c r="F25" s="50">
        <f>8395000</f>
        <v>8395000</v>
      </c>
      <c r="G25" s="50">
        <f>5686791</f>
        <v>5686791</v>
      </c>
      <c r="H25" s="51">
        <f>5432306.84</f>
        <v>5432306.8399999999</v>
      </c>
      <c r="I25" s="52">
        <f>3352000</f>
        <v>3352000</v>
      </c>
      <c r="J25" s="53">
        <f>0</f>
        <v>0</v>
      </c>
      <c r="K25" s="53">
        <f>0</f>
        <v>0</v>
      </c>
      <c r="L25" s="53">
        <f>0</f>
        <v>0</v>
      </c>
      <c r="M25" s="53">
        <f>0</f>
        <v>0</v>
      </c>
      <c r="N25" s="53">
        <f>0</f>
        <v>0</v>
      </c>
      <c r="O25" s="53">
        <f>0</f>
        <v>0</v>
      </c>
      <c r="P25" s="53">
        <f>0</f>
        <v>0</v>
      </c>
      <c r="Q25" s="53">
        <f>0</f>
        <v>0</v>
      </c>
      <c r="R25" s="53">
        <f>0</f>
        <v>0</v>
      </c>
      <c r="S25" s="53">
        <f>0</f>
        <v>0</v>
      </c>
      <c r="T25" s="53">
        <f>0</f>
        <v>0</v>
      </c>
      <c r="U25" s="53">
        <f>0</f>
        <v>0</v>
      </c>
      <c r="V25" s="53">
        <f>0</f>
        <v>0</v>
      </c>
      <c r="W25" s="53">
        <f>0</f>
        <v>0</v>
      </c>
      <c r="X25" s="53">
        <f>0</f>
        <v>0</v>
      </c>
      <c r="Y25" s="53">
        <f>0</f>
        <v>0</v>
      </c>
      <c r="Z25" s="53">
        <f>0</f>
        <v>0</v>
      </c>
      <c r="AA25" s="53">
        <f>0</f>
        <v>0</v>
      </c>
      <c r="AB25" s="53">
        <f>0</f>
        <v>0</v>
      </c>
      <c r="AC25" s="53">
        <f>0</f>
        <v>0</v>
      </c>
      <c r="AD25" s="53">
        <f>0</f>
        <v>0</v>
      </c>
      <c r="AE25" s="53">
        <f>0</f>
        <v>0</v>
      </c>
      <c r="AF25" s="53">
        <f>0</f>
        <v>0</v>
      </c>
      <c r="AG25" s="53">
        <f>0</f>
        <v>0</v>
      </c>
      <c r="AH25" s="53">
        <f>0</f>
        <v>0</v>
      </c>
      <c r="AI25" s="53">
        <f>0</f>
        <v>0</v>
      </c>
      <c r="AJ25" s="53">
        <f>0</f>
        <v>0</v>
      </c>
      <c r="AK25" s="53">
        <f>0</f>
        <v>0</v>
      </c>
      <c r="AL25" s="54">
        <f>0</f>
        <v>0</v>
      </c>
      <c r="AM25" s="43"/>
    </row>
    <row r="26" spans="1:39" ht="15" customHeight="1" outlineLevel="2">
      <c r="A26" s="375" t="s">
        <v>31</v>
      </c>
      <c r="B26" s="48" t="s">
        <v>168</v>
      </c>
      <c r="C26" s="354"/>
      <c r="D26" s="355" t="s">
        <v>227</v>
      </c>
      <c r="E26" s="93">
        <f>0</f>
        <v>0</v>
      </c>
      <c r="F26" s="55">
        <f>0</f>
        <v>0</v>
      </c>
      <c r="G26" s="55">
        <f>0</f>
        <v>0</v>
      </c>
      <c r="H26" s="56">
        <f>0</f>
        <v>0</v>
      </c>
      <c r="I26" s="57">
        <f>0</f>
        <v>0</v>
      </c>
      <c r="J26" s="58">
        <f>0</f>
        <v>0</v>
      </c>
      <c r="K26" s="58">
        <f>0</f>
        <v>0</v>
      </c>
      <c r="L26" s="58">
        <f>0</f>
        <v>0</v>
      </c>
      <c r="M26" s="58">
        <f>0</f>
        <v>0</v>
      </c>
      <c r="N26" s="58">
        <f>0</f>
        <v>0</v>
      </c>
      <c r="O26" s="58">
        <f>0</f>
        <v>0</v>
      </c>
      <c r="P26" s="58">
        <f>0</f>
        <v>0</v>
      </c>
      <c r="Q26" s="58">
        <f>0</f>
        <v>0</v>
      </c>
      <c r="R26" s="58">
        <f>0</f>
        <v>0</v>
      </c>
      <c r="S26" s="58">
        <f>0</f>
        <v>0</v>
      </c>
      <c r="T26" s="58">
        <f>0</f>
        <v>0</v>
      </c>
      <c r="U26" s="58">
        <f>0</f>
        <v>0</v>
      </c>
      <c r="V26" s="58">
        <f>0</f>
        <v>0</v>
      </c>
      <c r="W26" s="58">
        <f>0</f>
        <v>0</v>
      </c>
      <c r="X26" s="58">
        <f>0</f>
        <v>0</v>
      </c>
      <c r="Y26" s="58">
        <f>0</f>
        <v>0</v>
      </c>
      <c r="Z26" s="58">
        <f>0</f>
        <v>0</v>
      </c>
      <c r="AA26" s="58">
        <f>0</f>
        <v>0</v>
      </c>
      <c r="AB26" s="58">
        <f>0</f>
        <v>0</v>
      </c>
      <c r="AC26" s="58">
        <f>0</f>
        <v>0</v>
      </c>
      <c r="AD26" s="58">
        <f>0</f>
        <v>0</v>
      </c>
      <c r="AE26" s="58">
        <f>0</f>
        <v>0</v>
      </c>
      <c r="AF26" s="58">
        <f>0</f>
        <v>0</v>
      </c>
      <c r="AG26" s="58">
        <f>0</f>
        <v>0</v>
      </c>
      <c r="AH26" s="58">
        <f>0</f>
        <v>0</v>
      </c>
      <c r="AI26" s="58">
        <f>0</f>
        <v>0</v>
      </c>
      <c r="AJ26" s="58">
        <f>0</f>
        <v>0</v>
      </c>
      <c r="AK26" s="58">
        <f>0</f>
        <v>0</v>
      </c>
      <c r="AL26" s="59">
        <f>0</f>
        <v>0</v>
      </c>
    </row>
    <row r="27" spans="1:39" ht="15" customHeight="1" outlineLevel="3">
      <c r="A27" s="375" t="s">
        <v>31</v>
      </c>
      <c r="B27" s="48" t="s">
        <v>74</v>
      </c>
      <c r="C27" s="354"/>
      <c r="D27" s="356" t="s">
        <v>228</v>
      </c>
      <c r="E27" s="93">
        <f>0</f>
        <v>0</v>
      </c>
      <c r="F27" s="55">
        <f>0</f>
        <v>0</v>
      </c>
      <c r="G27" s="55">
        <f>0</f>
        <v>0</v>
      </c>
      <c r="H27" s="56">
        <f>0</f>
        <v>0</v>
      </c>
      <c r="I27" s="57">
        <f>0</f>
        <v>0</v>
      </c>
      <c r="J27" s="58">
        <f>0</f>
        <v>0</v>
      </c>
      <c r="K27" s="58">
        <f>0</f>
        <v>0</v>
      </c>
      <c r="L27" s="58">
        <f>0</f>
        <v>0</v>
      </c>
      <c r="M27" s="58">
        <f>0</f>
        <v>0</v>
      </c>
      <c r="N27" s="58">
        <f>0</f>
        <v>0</v>
      </c>
      <c r="O27" s="58">
        <f>0</f>
        <v>0</v>
      </c>
      <c r="P27" s="58">
        <f>0</f>
        <v>0</v>
      </c>
      <c r="Q27" s="58">
        <f>0</f>
        <v>0</v>
      </c>
      <c r="R27" s="58">
        <f>0</f>
        <v>0</v>
      </c>
      <c r="S27" s="58">
        <f>0</f>
        <v>0</v>
      </c>
      <c r="T27" s="58">
        <f>0</f>
        <v>0</v>
      </c>
      <c r="U27" s="58">
        <f>0</f>
        <v>0</v>
      </c>
      <c r="V27" s="58">
        <f>0</f>
        <v>0</v>
      </c>
      <c r="W27" s="58">
        <f>0</f>
        <v>0</v>
      </c>
      <c r="X27" s="58">
        <f>0</f>
        <v>0</v>
      </c>
      <c r="Y27" s="58">
        <f>0</f>
        <v>0</v>
      </c>
      <c r="Z27" s="58">
        <f>0</f>
        <v>0</v>
      </c>
      <c r="AA27" s="58">
        <f>0</f>
        <v>0</v>
      </c>
      <c r="AB27" s="58">
        <f>0</f>
        <v>0</v>
      </c>
      <c r="AC27" s="58">
        <f>0</f>
        <v>0</v>
      </c>
      <c r="AD27" s="58">
        <f>0</f>
        <v>0</v>
      </c>
      <c r="AE27" s="58">
        <f>0</f>
        <v>0</v>
      </c>
      <c r="AF27" s="58">
        <f>0</f>
        <v>0</v>
      </c>
      <c r="AG27" s="58">
        <f>0</f>
        <v>0</v>
      </c>
      <c r="AH27" s="58">
        <f>0</f>
        <v>0</v>
      </c>
      <c r="AI27" s="58">
        <f>0</f>
        <v>0</v>
      </c>
      <c r="AJ27" s="58">
        <f>0</f>
        <v>0</v>
      </c>
      <c r="AK27" s="58">
        <f>0</f>
        <v>0</v>
      </c>
      <c r="AL27" s="59">
        <f>0</f>
        <v>0</v>
      </c>
    </row>
    <row r="28" spans="1:39" ht="15" customHeight="1" outlineLevel="2">
      <c r="A28" s="375" t="s">
        <v>31</v>
      </c>
      <c r="B28" s="48" t="s">
        <v>169</v>
      </c>
      <c r="C28" s="354"/>
      <c r="D28" s="355" t="s">
        <v>229</v>
      </c>
      <c r="E28" s="93">
        <f>0</f>
        <v>0</v>
      </c>
      <c r="F28" s="55">
        <f>0</f>
        <v>0</v>
      </c>
      <c r="G28" s="55">
        <f>2186791</f>
        <v>2186791</v>
      </c>
      <c r="H28" s="56">
        <f>2232306.84</f>
        <v>2232306.84</v>
      </c>
      <c r="I28" s="57">
        <f>2052000</f>
        <v>2052000</v>
      </c>
      <c r="J28" s="58">
        <f>0</f>
        <v>0</v>
      </c>
      <c r="K28" s="58">
        <f>0</f>
        <v>0</v>
      </c>
      <c r="L28" s="58">
        <f>0</f>
        <v>0</v>
      </c>
      <c r="M28" s="58">
        <f>0</f>
        <v>0</v>
      </c>
      <c r="N28" s="58">
        <f>0</f>
        <v>0</v>
      </c>
      <c r="O28" s="58">
        <f>0</f>
        <v>0</v>
      </c>
      <c r="P28" s="58">
        <f>0</f>
        <v>0</v>
      </c>
      <c r="Q28" s="58">
        <f>0</f>
        <v>0</v>
      </c>
      <c r="R28" s="58">
        <f>0</f>
        <v>0</v>
      </c>
      <c r="S28" s="58">
        <f>0</f>
        <v>0</v>
      </c>
      <c r="T28" s="58">
        <f>0</f>
        <v>0</v>
      </c>
      <c r="U28" s="58">
        <f>0</f>
        <v>0</v>
      </c>
      <c r="V28" s="58">
        <f>0</f>
        <v>0</v>
      </c>
      <c r="W28" s="58">
        <f>0</f>
        <v>0</v>
      </c>
      <c r="X28" s="58">
        <f>0</f>
        <v>0</v>
      </c>
      <c r="Y28" s="58">
        <f>0</f>
        <v>0</v>
      </c>
      <c r="Z28" s="58">
        <f>0</f>
        <v>0</v>
      </c>
      <c r="AA28" s="58">
        <f>0</f>
        <v>0</v>
      </c>
      <c r="AB28" s="58">
        <f>0</f>
        <v>0</v>
      </c>
      <c r="AC28" s="58">
        <f>0</f>
        <v>0</v>
      </c>
      <c r="AD28" s="58">
        <f>0</f>
        <v>0</v>
      </c>
      <c r="AE28" s="58">
        <f>0</f>
        <v>0</v>
      </c>
      <c r="AF28" s="58">
        <f>0</f>
        <v>0</v>
      </c>
      <c r="AG28" s="58">
        <f>0</f>
        <v>0</v>
      </c>
      <c r="AH28" s="58">
        <f>0</f>
        <v>0</v>
      </c>
      <c r="AI28" s="58">
        <f>0</f>
        <v>0</v>
      </c>
      <c r="AJ28" s="58">
        <f>0</f>
        <v>0</v>
      </c>
      <c r="AK28" s="58">
        <f>0</f>
        <v>0</v>
      </c>
      <c r="AL28" s="59">
        <f>0</f>
        <v>0</v>
      </c>
    </row>
    <row r="29" spans="1:39" ht="15" customHeight="1" outlineLevel="3">
      <c r="A29" s="375" t="s">
        <v>31</v>
      </c>
      <c r="B29" s="48" t="s">
        <v>77</v>
      </c>
      <c r="C29" s="354"/>
      <c r="D29" s="356" t="s">
        <v>228</v>
      </c>
      <c r="E29" s="93">
        <f>0</f>
        <v>0</v>
      </c>
      <c r="F29" s="55">
        <f>0</f>
        <v>0</v>
      </c>
      <c r="G29" s="55">
        <f>92653</f>
        <v>92653</v>
      </c>
      <c r="H29" s="56">
        <f>92653</f>
        <v>92653</v>
      </c>
      <c r="I29" s="57">
        <f>504000</f>
        <v>504000</v>
      </c>
      <c r="J29" s="58">
        <f>0</f>
        <v>0</v>
      </c>
      <c r="K29" s="58">
        <f>0</f>
        <v>0</v>
      </c>
      <c r="L29" s="58">
        <f>0</f>
        <v>0</v>
      </c>
      <c r="M29" s="58">
        <f>0</f>
        <v>0</v>
      </c>
      <c r="N29" s="58">
        <f>0</f>
        <v>0</v>
      </c>
      <c r="O29" s="58">
        <f>0</f>
        <v>0</v>
      </c>
      <c r="P29" s="58">
        <f>0</f>
        <v>0</v>
      </c>
      <c r="Q29" s="58">
        <f>0</f>
        <v>0</v>
      </c>
      <c r="R29" s="58">
        <f>0</f>
        <v>0</v>
      </c>
      <c r="S29" s="58">
        <f>0</f>
        <v>0</v>
      </c>
      <c r="T29" s="58">
        <f>0</f>
        <v>0</v>
      </c>
      <c r="U29" s="58">
        <f>0</f>
        <v>0</v>
      </c>
      <c r="V29" s="58">
        <f>0</f>
        <v>0</v>
      </c>
      <c r="W29" s="58">
        <f>0</f>
        <v>0</v>
      </c>
      <c r="X29" s="58">
        <f>0</f>
        <v>0</v>
      </c>
      <c r="Y29" s="58">
        <f>0</f>
        <v>0</v>
      </c>
      <c r="Z29" s="58">
        <f>0</f>
        <v>0</v>
      </c>
      <c r="AA29" s="58">
        <f>0</f>
        <v>0</v>
      </c>
      <c r="AB29" s="58">
        <f>0</f>
        <v>0</v>
      </c>
      <c r="AC29" s="58">
        <f>0</f>
        <v>0</v>
      </c>
      <c r="AD29" s="58">
        <f>0</f>
        <v>0</v>
      </c>
      <c r="AE29" s="58">
        <f>0</f>
        <v>0</v>
      </c>
      <c r="AF29" s="58">
        <f>0</f>
        <v>0</v>
      </c>
      <c r="AG29" s="58">
        <f>0</f>
        <v>0</v>
      </c>
      <c r="AH29" s="58">
        <f>0</f>
        <v>0</v>
      </c>
      <c r="AI29" s="58">
        <f>0</f>
        <v>0</v>
      </c>
      <c r="AJ29" s="58">
        <f>0</f>
        <v>0</v>
      </c>
      <c r="AK29" s="58">
        <f>0</f>
        <v>0</v>
      </c>
      <c r="AL29" s="59">
        <f>0</f>
        <v>0</v>
      </c>
    </row>
    <row r="30" spans="1:39" ht="15" customHeight="1" outlineLevel="2">
      <c r="A30" s="375" t="s">
        <v>31</v>
      </c>
      <c r="B30" s="48" t="s">
        <v>170</v>
      </c>
      <c r="C30" s="354"/>
      <c r="D30" s="355" t="s">
        <v>230</v>
      </c>
      <c r="E30" s="93">
        <f>5530000</f>
        <v>5530000</v>
      </c>
      <c r="F30" s="55">
        <f>8395000</f>
        <v>8395000</v>
      </c>
      <c r="G30" s="55">
        <f>3500000</f>
        <v>3500000</v>
      </c>
      <c r="H30" s="56">
        <f>3200000</f>
        <v>3200000</v>
      </c>
      <c r="I30" s="57">
        <f>1300000</f>
        <v>1300000</v>
      </c>
      <c r="J30" s="58">
        <f>0</f>
        <v>0</v>
      </c>
      <c r="K30" s="58">
        <f>0</f>
        <v>0</v>
      </c>
      <c r="L30" s="58">
        <f>0</f>
        <v>0</v>
      </c>
      <c r="M30" s="58">
        <f>0</f>
        <v>0</v>
      </c>
      <c r="N30" s="58">
        <f>0</f>
        <v>0</v>
      </c>
      <c r="O30" s="58">
        <f>0</f>
        <v>0</v>
      </c>
      <c r="P30" s="58">
        <f>0</f>
        <v>0</v>
      </c>
      <c r="Q30" s="58">
        <f>0</f>
        <v>0</v>
      </c>
      <c r="R30" s="58">
        <f>0</f>
        <v>0</v>
      </c>
      <c r="S30" s="58">
        <f>0</f>
        <v>0</v>
      </c>
      <c r="T30" s="58">
        <f>0</f>
        <v>0</v>
      </c>
      <c r="U30" s="58">
        <f>0</f>
        <v>0</v>
      </c>
      <c r="V30" s="58">
        <f>0</f>
        <v>0</v>
      </c>
      <c r="W30" s="58">
        <f>0</f>
        <v>0</v>
      </c>
      <c r="X30" s="58">
        <f>0</f>
        <v>0</v>
      </c>
      <c r="Y30" s="58">
        <f>0</f>
        <v>0</v>
      </c>
      <c r="Z30" s="58">
        <f>0</f>
        <v>0</v>
      </c>
      <c r="AA30" s="58">
        <f>0</f>
        <v>0</v>
      </c>
      <c r="AB30" s="58">
        <f>0</f>
        <v>0</v>
      </c>
      <c r="AC30" s="58">
        <f>0</f>
        <v>0</v>
      </c>
      <c r="AD30" s="58">
        <f>0</f>
        <v>0</v>
      </c>
      <c r="AE30" s="58">
        <f>0</f>
        <v>0</v>
      </c>
      <c r="AF30" s="58">
        <f>0</f>
        <v>0</v>
      </c>
      <c r="AG30" s="58">
        <f>0</f>
        <v>0</v>
      </c>
      <c r="AH30" s="58">
        <f>0</f>
        <v>0</v>
      </c>
      <c r="AI30" s="58">
        <f>0</f>
        <v>0</v>
      </c>
      <c r="AJ30" s="58">
        <f>0</f>
        <v>0</v>
      </c>
      <c r="AK30" s="58">
        <f>0</f>
        <v>0</v>
      </c>
      <c r="AL30" s="59">
        <f>0</f>
        <v>0</v>
      </c>
    </row>
    <row r="31" spans="1:39" ht="15" customHeight="1" outlineLevel="3">
      <c r="A31" s="375" t="s">
        <v>31</v>
      </c>
      <c r="B31" s="48" t="s">
        <v>80</v>
      </c>
      <c r="C31" s="354"/>
      <c r="D31" s="356" t="s">
        <v>228</v>
      </c>
      <c r="E31" s="93">
        <f>0</f>
        <v>0</v>
      </c>
      <c r="F31" s="55">
        <f>0</f>
        <v>0</v>
      </c>
      <c r="G31" s="55">
        <f>2143366</f>
        <v>2143366</v>
      </c>
      <c r="H31" s="56">
        <f>0</f>
        <v>0</v>
      </c>
      <c r="I31" s="57">
        <f>743000</f>
        <v>743000</v>
      </c>
      <c r="J31" s="58">
        <f>0</f>
        <v>0</v>
      </c>
      <c r="K31" s="58">
        <f>0</f>
        <v>0</v>
      </c>
      <c r="L31" s="58">
        <f>0</f>
        <v>0</v>
      </c>
      <c r="M31" s="58">
        <f>0</f>
        <v>0</v>
      </c>
      <c r="N31" s="58">
        <f>0</f>
        <v>0</v>
      </c>
      <c r="O31" s="58">
        <f>0</f>
        <v>0</v>
      </c>
      <c r="P31" s="58">
        <f>0</f>
        <v>0</v>
      </c>
      <c r="Q31" s="58">
        <f>0</f>
        <v>0</v>
      </c>
      <c r="R31" s="58">
        <f>0</f>
        <v>0</v>
      </c>
      <c r="S31" s="58">
        <f>0</f>
        <v>0</v>
      </c>
      <c r="T31" s="58">
        <f>0</f>
        <v>0</v>
      </c>
      <c r="U31" s="58">
        <f>0</f>
        <v>0</v>
      </c>
      <c r="V31" s="58">
        <f>0</f>
        <v>0</v>
      </c>
      <c r="W31" s="58">
        <f>0</f>
        <v>0</v>
      </c>
      <c r="X31" s="58">
        <f>0</f>
        <v>0</v>
      </c>
      <c r="Y31" s="58">
        <f>0</f>
        <v>0</v>
      </c>
      <c r="Z31" s="58">
        <f>0</f>
        <v>0</v>
      </c>
      <c r="AA31" s="58">
        <f>0</f>
        <v>0</v>
      </c>
      <c r="AB31" s="58">
        <f>0</f>
        <v>0</v>
      </c>
      <c r="AC31" s="58">
        <f>0</f>
        <v>0</v>
      </c>
      <c r="AD31" s="58">
        <f>0</f>
        <v>0</v>
      </c>
      <c r="AE31" s="58">
        <f>0</f>
        <v>0</v>
      </c>
      <c r="AF31" s="58">
        <f>0</f>
        <v>0</v>
      </c>
      <c r="AG31" s="58">
        <f>0</f>
        <v>0</v>
      </c>
      <c r="AH31" s="58">
        <f>0</f>
        <v>0</v>
      </c>
      <c r="AI31" s="58">
        <f>0</f>
        <v>0</v>
      </c>
      <c r="AJ31" s="58">
        <f>0</f>
        <v>0</v>
      </c>
      <c r="AK31" s="58">
        <f>0</f>
        <v>0</v>
      </c>
      <c r="AL31" s="59">
        <f>0</f>
        <v>0</v>
      </c>
    </row>
    <row r="32" spans="1:39" ht="15" customHeight="1" outlineLevel="2">
      <c r="A32" s="375" t="s">
        <v>31</v>
      </c>
      <c r="B32" s="48" t="s">
        <v>171</v>
      </c>
      <c r="C32" s="354"/>
      <c r="D32" s="355" t="s">
        <v>231</v>
      </c>
      <c r="E32" s="93">
        <f>0</f>
        <v>0</v>
      </c>
      <c r="F32" s="55">
        <f>0</f>
        <v>0</v>
      </c>
      <c r="G32" s="55">
        <f>0</f>
        <v>0</v>
      </c>
      <c r="H32" s="56">
        <f>0</f>
        <v>0</v>
      </c>
      <c r="I32" s="57">
        <f>0</f>
        <v>0</v>
      </c>
      <c r="J32" s="58">
        <f>0</f>
        <v>0</v>
      </c>
      <c r="K32" s="58">
        <f>0</f>
        <v>0</v>
      </c>
      <c r="L32" s="58">
        <f>0</f>
        <v>0</v>
      </c>
      <c r="M32" s="58">
        <f>0</f>
        <v>0</v>
      </c>
      <c r="N32" s="58">
        <f>0</f>
        <v>0</v>
      </c>
      <c r="O32" s="58">
        <f>0</f>
        <v>0</v>
      </c>
      <c r="P32" s="58">
        <f>0</f>
        <v>0</v>
      </c>
      <c r="Q32" s="58">
        <f>0</f>
        <v>0</v>
      </c>
      <c r="R32" s="58">
        <f>0</f>
        <v>0</v>
      </c>
      <c r="S32" s="58">
        <f>0</f>
        <v>0</v>
      </c>
      <c r="T32" s="58">
        <f>0</f>
        <v>0</v>
      </c>
      <c r="U32" s="58">
        <f>0</f>
        <v>0</v>
      </c>
      <c r="V32" s="58">
        <f>0</f>
        <v>0</v>
      </c>
      <c r="W32" s="58">
        <f>0</f>
        <v>0</v>
      </c>
      <c r="X32" s="58">
        <f>0</f>
        <v>0</v>
      </c>
      <c r="Y32" s="58">
        <f>0</f>
        <v>0</v>
      </c>
      <c r="Z32" s="58">
        <f>0</f>
        <v>0</v>
      </c>
      <c r="AA32" s="58">
        <f>0</f>
        <v>0</v>
      </c>
      <c r="AB32" s="58">
        <f>0</f>
        <v>0</v>
      </c>
      <c r="AC32" s="58">
        <f>0</f>
        <v>0</v>
      </c>
      <c r="AD32" s="58">
        <f>0</f>
        <v>0</v>
      </c>
      <c r="AE32" s="58">
        <f>0</f>
        <v>0</v>
      </c>
      <c r="AF32" s="58">
        <f>0</f>
        <v>0</v>
      </c>
      <c r="AG32" s="58">
        <f>0</f>
        <v>0</v>
      </c>
      <c r="AH32" s="58">
        <f>0</f>
        <v>0</v>
      </c>
      <c r="AI32" s="58">
        <f>0</f>
        <v>0</v>
      </c>
      <c r="AJ32" s="58">
        <f>0</f>
        <v>0</v>
      </c>
      <c r="AK32" s="58">
        <f>0</f>
        <v>0</v>
      </c>
      <c r="AL32" s="59">
        <f>0</f>
        <v>0</v>
      </c>
    </row>
    <row r="33" spans="1:39" ht="15" customHeight="1" outlineLevel="3">
      <c r="A33" s="375" t="s">
        <v>31</v>
      </c>
      <c r="B33" s="48" t="s">
        <v>82</v>
      </c>
      <c r="C33" s="354"/>
      <c r="D33" s="356" t="s">
        <v>228</v>
      </c>
      <c r="E33" s="93">
        <f>0</f>
        <v>0</v>
      </c>
      <c r="F33" s="55">
        <f>0</f>
        <v>0</v>
      </c>
      <c r="G33" s="55">
        <f>0</f>
        <v>0</v>
      </c>
      <c r="H33" s="56">
        <f>0</f>
        <v>0</v>
      </c>
      <c r="I33" s="57">
        <f>0</f>
        <v>0</v>
      </c>
      <c r="J33" s="58">
        <f>0</f>
        <v>0</v>
      </c>
      <c r="K33" s="58">
        <f>0</f>
        <v>0</v>
      </c>
      <c r="L33" s="58">
        <f>0</f>
        <v>0</v>
      </c>
      <c r="M33" s="58">
        <f>0</f>
        <v>0</v>
      </c>
      <c r="N33" s="58">
        <f>0</f>
        <v>0</v>
      </c>
      <c r="O33" s="58">
        <f>0</f>
        <v>0</v>
      </c>
      <c r="P33" s="58">
        <f>0</f>
        <v>0</v>
      </c>
      <c r="Q33" s="58">
        <f>0</f>
        <v>0</v>
      </c>
      <c r="R33" s="58">
        <f>0</f>
        <v>0</v>
      </c>
      <c r="S33" s="58">
        <f>0</f>
        <v>0</v>
      </c>
      <c r="T33" s="58">
        <f>0</f>
        <v>0</v>
      </c>
      <c r="U33" s="58">
        <f>0</f>
        <v>0</v>
      </c>
      <c r="V33" s="58">
        <f>0</f>
        <v>0</v>
      </c>
      <c r="W33" s="58">
        <f>0</f>
        <v>0</v>
      </c>
      <c r="X33" s="58">
        <f>0</f>
        <v>0</v>
      </c>
      <c r="Y33" s="58">
        <f>0</f>
        <v>0</v>
      </c>
      <c r="Z33" s="58">
        <f>0</f>
        <v>0</v>
      </c>
      <c r="AA33" s="58">
        <f>0</f>
        <v>0</v>
      </c>
      <c r="AB33" s="58">
        <f>0</f>
        <v>0</v>
      </c>
      <c r="AC33" s="58">
        <f>0</f>
        <v>0</v>
      </c>
      <c r="AD33" s="58">
        <f>0</f>
        <v>0</v>
      </c>
      <c r="AE33" s="58">
        <f>0</f>
        <v>0</v>
      </c>
      <c r="AF33" s="58">
        <f>0</f>
        <v>0</v>
      </c>
      <c r="AG33" s="58">
        <f>0</f>
        <v>0</v>
      </c>
      <c r="AH33" s="58">
        <f>0</f>
        <v>0</v>
      </c>
      <c r="AI33" s="58">
        <f>0</f>
        <v>0</v>
      </c>
      <c r="AJ33" s="58">
        <f>0</f>
        <v>0</v>
      </c>
      <c r="AK33" s="58">
        <f>0</f>
        <v>0</v>
      </c>
      <c r="AL33" s="59">
        <f>0</f>
        <v>0</v>
      </c>
    </row>
    <row r="34" spans="1:39" ht="15" customHeight="1" outlineLevel="1">
      <c r="A34" s="375" t="s">
        <v>31</v>
      </c>
      <c r="B34" s="47">
        <v>5</v>
      </c>
      <c r="C34" s="376"/>
      <c r="D34" s="353" t="s">
        <v>83</v>
      </c>
      <c r="E34" s="92">
        <f>265120.73</f>
        <v>265120.73</v>
      </c>
      <c r="F34" s="50">
        <f>2901028.68</f>
        <v>2901028.68</v>
      </c>
      <c r="G34" s="50">
        <f>3450772</f>
        <v>3450772</v>
      </c>
      <c r="H34" s="51">
        <f>3420740.93</f>
        <v>3420740.93</v>
      </c>
      <c r="I34" s="52">
        <f>2105000</f>
        <v>2105000</v>
      </c>
      <c r="J34" s="53">
        <f>1057000</f>
        <v>1057000</v>
      </c>
      <c r="K34" s="53">
        <f>100000</f>
        <v>100000</v>
      </c>
      <c r="L34" s="53">
        <f>400000</f>
        <v>400000</v>
      </c>
      <c r="M34" s="53">
        <f>600000</f>
        <v>600000</v>
      </c>
      <c r="N34" s="53">
        <f>600000</f>
        <v>600000</v>
      </c>
      <c r="O34" s="53">
        <f>1200000</f>
        <v>1200000</v>
      </c>
      <c r="P34" s="53">
        <f>1300000</f>
        <v>1300000</v>
      </c>
      <c r="Q34" s="53">
        <f>1200000</f>
        <v>1200000</v>
      </c>
      <c r="R34" s="53">
        <f>1330000</f>
        <v>1330000</v>
      </c>
      <c r="S34" s="53">
        <f>1510000</f>
        <v>1510000</v>
      </c>
      <c r="T34" s="53">
        <f>1548000</f>
        <v>1548000</v>
      </c>
      <c r="U34" s="53">
        <f>743000</f>
        <v>743000</v>
      </c>
      <c r="V34" s="53">
        <f>0</f>
        <v>0</v>
      </c>
      <c r="W34" s="53">
        <f>0</f>
        <v>0</v>
      </c>
      <c r="X34" s="53">
        <f>0</f>
        <v>0</v>
      </c>
      <c r="Y34" s="53">
        <f>0</f>
        <v>0</v>
      </c>
      <c r="Z34" s="53">
        <f>0</f>
        <v>0</v>
      </c>
      <c r="AA34" s="53">
        <f>0</f>
        <v>0</v>
      </c>
      <c r="AB34" s="53">
        <f>0</f>
        <v>0</v>
      </c>
      <c r="AC34" s="53">
        <f>0</f>
        <v>0</v>
      </c>
      <c r="AD34" s="53">
        <f>0</f>
        <v>0</v>
      </c>
      <c r="AE34" s="53">
        <f>0</f>
        <v>0</v>
      </c>
      <c r="AF34" s="53">
        <f>0</f>
        <v>0</v>
      </c>
      <c r="AG34" s="53">
        <f>0</f>
        <v>0</v>
      </c>
      <c r="AH34" s="53">
        <f>0</f>
        <v>0</v>
      </c>
      <c r="AI34" s="53">
        <f>0</f>
        <v>0</v>
      </c>
      <c r="AJ34" s="53">
        <f>0</f>
        <v>0</v>
      </c>
      <c r="AK34" s="53">
        <f>0</f>
        <v>0</v>
      </c>
      <c r="AL34" s="54">
        <f>0</f>
        <v>0</v>
      </c>
      <c r="AM34" s="43"/>
    </row>
    <row r="35" spans="1:39" ht="15" customHeight="1" outlineLevel="2">
      <c r="A35" s="375" t="s">
        <v>31</v>
      </c>
      <c r="B35" s="48" t="s">
        <v>172</v>
      </c>
      <c r="C35" s="354"/>
      <c r="D35" s="355" t="s">
        <v>232</v>
      </c>
      <c r="E35" s="93">
        <f>265120.73</f>
        <v>265120.73</v>
      </c>
      <c r="F35" s="55">
        <f>2901028.68</f>
        <v>2901028.68</v>
      </c>
      <c r="G35" s="55">
        <f>3450772</f>
        <v>3450772</v>
      </c>
      <c r="H35" s="56">
        <f>3420740.93</f>
        <v>3420740.93</v>
      </c>
      <c r="I35" s="57">
        <f>2105000</f>
        <v>2105000</v>
      </c>
      <c r="J35" s="58">
        <f>1057000</f>
        <v>1057000</v>
      </c>
      <c r="K35" s="58">
        <f>100000</f>
        <v>100000</v>
      </c>
      <c r="L35" s="58">
        <f>400000</f>
        <v>400000</v>
      </c>
      <c r="M35" s="58">
        <f>600000</f>
        <v>600000</v>
      </c>
      <c r="N35" s="58">
        <f>600000</f>
        <v>600000</v>
      </c>
      <c r="O35" s="58">
        <f>1200000</f>
        <v>1200000</v>
      </c>
      <c r="P35" s="58">
        <f>1300000</f>
        <v>1300000</v>
      </c>
      <c r="Q35" s="58">
        <f>1200000</f>
        <v>1200000</v>
      </c>
      <c r="R35" s="58">
        <f>1330000</f>
        <v>1330000</v>
      </c>
      <c r="S35" s="58">
        <f>1510000</f>
        <v>1510000</v>
      </c>
      <c r="T35" s="58">
        <f>1548000</f>
        <v>1548000</v>
      </c>
      <c r="U35" s="58">
        <f>743000</f>
        <v>743000</v>
      </c>
      <c r="V35" s="58">
        <f>0</f>
        <v>0</v>
      </c>
      <c r="W35" s="58">
        <f>0</f>
        <v>0</v>
      </c>
      <c r="X35" s="58">
        <f>0</f>
        <v>0</v>
      </c>
      <c r="Y35" s="58">
        <f>0</f>
        <v>0</v>
      </c>
      <c r="Z35" s="58">
        <f>0</f>
        <v>0</v>
      </c>
      <c r="AA35" s="58">
        <f>0</f>
        <v>0</v>
      </c>
      <c r="AB35" s="58">
        <f>0</f>
        <v>0</v>
      </c>
      <c r="AC35" s="58">
        <f>0</f>
        <v>0</v>
      </c>
      <c r="AD35" s="58">
        <f>0</f>
        <v>0</v>
      </c>
      <c r="AE35" s="58">
        <f>0</f>
        <v>0</v>
      </c>
      <c r="AF35" s="58">
        <f>0</f>
        <v>0</v>
      </c>
      <c r="AG35" s="58">
        <f>0</f>
        <v>0</v>
      </c>
      <c r="AH35" s="58">
        <f>0</f>
        <v>0</v>
      </c>
      <c r="AI35" s="58">
        <f>0</f>
        <v>0</v>
      </c>
      <c r="AJ35" s="58">
        <f>0</f>
        <v>0</v>
      </c>
      <c r="AK35" s="58">
        <f>0</f>
        <v>0</v>
      </c>
      <c r="AL35" s="59">
        <f>0</f>
        <v>0</v>
      </c>
    </row>
    <row r="36" spans="1:39" ht="62.25" customHeight="1" outlineLevel="3">
      <c r="A36" s="375" t="s">
        <v>31</v>
      </c>
      <c r="B36" s="48" t="s">
        <v>85</v>
      </c>
      <c r="C36" s="354"/>
      <c r="D36" s="356" t="s">
        <v>452</v>
      </c>
      <c r="E36" s="93">
        <f>0</f>
        <v>0</v>
      </c>
      <c r="F36" s="55">
        <f>0</f>
        <v>0</v>
      </c>
      <c r="G36" s="55">
        <f>0</f>
        <v>0</v>
      </c>
      <c r="H36" s="56">
        <f>2698000</f>
        <v>2698000</v>
      </c>
      <c r="I36" s="57">
        <f>460716</f>
        <v>460716</v>
      </c>
      <c r="J36" s="58">
        <f>1057000</f>
        <v>1057000</v>
      </c>
      <c r="K36" s="58">
        <f>0</f>
        <v>0</v>
      </c>
      <c r="L36" s="58">
        <f>0</f>
        <v>0</v>
      </c>
      <c r="M36" s="58">
        <f>0</f>
        <v>0</v>
      </c>
      <c r="N36" s="58">
        <f>0</f>
        <v>0</v>
      </c>
      <c r="O36" s="58">
        <f>0</f>
        <v>0</v>
      </c>
      <c r="P36" s="58">
        <f>0</f>
        <v>0</v>
      </c>
      <c r="Q36" s="58">
        <f>0</f>
        <v>0</v>
      </c>
      <c r="R36" s="58">
        <f>0</f>
        <v>0</v>
      </c>
      <c r="S36" s="58">
        <f>0</f>
        <v>0</v>
      </c>
      <c r="T36" s="58">
        <f>0</f>
        <v>0</v>
      </c>
      <c r="U36" s="58">
        <f>0</f>
        <v>0</v>
      </c>
      <c r="V36" s="58">
        <f>0</f>
        <v>0</v>
      </c>
      <c r="W36" s="58">
        <f>0</f>
        <v>0</v>
      </c>
      <c r="X36" s="58">
        <f>0</f>
        <v>0</v>
      </c>
      <c r="Y36" s="58">
        <f>0</f>
        <v>0</v>
      </c>
      <c r="Z36" s="58">
        <f>0</f>
        <v>0</v>
      </c>
      <c r="AA36" s="58">
        <f>0</f>
        <v>0</v>
      </c>
      <c r="AB36" s="58">
        <f>0</f>
        <v>0</v>
      </c>
      <c r="AC36" s="58">
        <f>0</f>
        <v>0</v>
      </c>
      <c r="AD36" s="58">
        <f>0</f>
        <v>0</v>
      </c>
      <c r="AE36" s="58">
        <f>0</f>
        <v>0</v>
      </c>
      <c r="AF36" s="58">
        <f>0</f>
        <v>0</v>
      </c>
      <c r="AG36" s="58">
        <f>0</f>
        <v>0</v>
      </c>
      <c r="AH36" s="58">
        <f>0</f>
        <v>0</v>
      </c>
      <c r="AI36" s="58">
        <f>0</f>
        <v>0</v>
      </c>
      <c r="AJ36" s="58">
        <f>0</f>
        <v>0</v>
      </c>
      <c r="AK36" s="58">
        <f>0</f>
        <v>0</v>
      </c>
      <c r="AL36" s="59">
        <f>0</f>
        <v>0</v>
      </c>
    </row>
    <row r="37" spans="1:39" ht="25.5" customHeight="1" outlineLevel="3">
      <c r="A37" s="375" t="s">
        <v>31</v>
      </c>
      <c r="B37" s="48" t="s">
        <v>87</v>
      </c>
      <c r="C37" s="354"/>
      <c r="D37" s="357" t="s">
        <v>233</v>
      </c>
      <c r="E37" s="93">
        <f>0</f>
        <v>0</v>
      </c>
      <c r="F37" s="55">
        <f>2179658</f>
        <v>2179658</v>
      </c>
      <c r="G37" s="55">
        <f>2698000</f>
        <v>2698000</v>
      </c>
      <c r="H37" s="56">
        <f>2698000</f>
        <v>2698000</v>
      </c>
      <c r="I37" s="57">
        <f>460716</f>
        <v>460716</v>
      </c>
      <c r="J37" s="58">
        <f>1057000</f>
        <v>1057000</v>
      </c>
      <c r="K37" s="58">
        <f>0</f>
        <v>0</v>
      </c>
      <c r="L37" s="58">
        <f>0</f>
        <v>0</v>
      </c>
      <c r="M37" s="58">
        <f>0</f>
        <v>0</v>
      </c>
      <c r="N37" s="58">
        <f>0</f>
        <v>0</v>
      </c>
      <c r="O37" s="58">
        <f>0</f>
        <v>0</v>
      </c>
      <c r="P37" s="58">
        <f>0</f>
        <v>0</v>
      </c>
      <c r="Q37" s="58">
        <f>0</f>
        <v>0</v>
      </c>
      <c r="R37" s="58">
        <f>0</f>
        <v>0</v>
      </c>
      <c r="S37" s="58">
        <f>0</f>
        <v>0</v>
      </c>
      <c r="T37" s="58">
        <f>0</f>
        <v>0</v>
      </c>
      <c r="U37" s="58">
        <f>0</f>
        <v>0</v>
      </c>
      <c r="V37" s="58">
        <f>0</f>
        <v>0</v>
      </c>
      <c r="W37" s="58">
        <f>0</f>
        <v>0</v>
      </c>
      <c r="X37" s="58">
        <f>0</f>
        <v>0</v>
      </c>
      <c r="Y37" s="58">
        <f>0</f>
        <v>0</v>
      </c>
      <c r="Z37" s="58">
        <f>0</f>
        <v>0</v>
      </c>
      <c r="AA37" s="58">
        <f>0</f>
        <v>0</v>
      </c>
      <c r="AB37" s="58">
        <f>0</f>
        <v>0</v>
      </c>
      <c r="AC37" s="58">
        <f>0</f>
        <v>0</v>
      </c>
      <c r="AD37" s="58">
        <f>0</f>
        <v>0</v>
      </c>
      <c r="AE37" s="58">
        <f>0</f>
        <v>0</v>
      </c>
      <c r="AF37" s="58">
        <f>0</f>
        <v>0</v>
      </c>
      <c r="AG37" s="58">
        <f>0</f>
        <v>0</v>
      </c>
      <c r="AH37" s="58">
        <f>0</f>
        <v>0</v>
      </c>
      <c r="AI37" s="58">
        <f>0</f>
        <v>0</v>
      </c>
      <c r="AJ37" s="58">
        <f>0</f>
        <v>0</v>
      </c>
      <c r="AK37" s="58">
        <f>0</f>
        <v>0</v>
      </c>
      <c r="AL37" s="59">
        <f>0</f>
        <v>0</v>
      </c>
    </row>
    <row r="38" spans="1:39" ht="15" customHeight="1" outlineLevel="2">
      <c r="B38" s="48" t="s">
        <v>173</v>
      </c>
      <c r="C38" s="354"/>
      <c r="D38" s="355" t="s">
        <v>234</v>
      </c>
      <c r="E38" s="93">
        <f>0</f>
        <v>0</v>
      </c>
      <c r="F38" s="55">
        <f>0</f>
        <v>0</v>
      </c>
      <c r="G38" s="55">
        <f>0</f>
        <v>0</v>
      </c>
      <c r="H38" s="56">
        <f>0</f>
        <v>0</v>
      </c>
      <c r="I38" s="57">
        <f>0</f>
        <v>0</v>
      </c>
      <c r="J38" s="58">
        <f>0</f>
        <v>0</v>
      </c>
      <c r="K38" s="58">
        <f>0</f>
        <v>0</v>
      </c>
      <c r="L38" s="58">
        <f>0</f>
        <v>0</v>
      </c>
      <c r="M38" s="58">
        <f>0</f>
        <v>0</v>
      </c>
      <c r="N38" s="58">
        <f>0</f>
        <v>0</v>
      </c>
      <c r="O38" s="58">
        <f>0</f>
        <v>0</v>
      </c>
      <c r="P38" s="58">
        <f>0</f>
        <v>0</v>
      </c>
      <c r="Q38" s="58">
        <f>0</f>
        <v>0</v>
      </c>
      <c r="R38" s="58">
        <f>0</f>
        <v>0</v>
      </c>
      <c r="S38" s="58">
        <f>0</f>
        <v>0</v>
      </c>
      <c r="T38" s="58">
        <f>0</f>
        <v>0</v>
      </c>
      <c r="U38" s="58">
        <f>0</f>
        <v>0</v>
      </c>
      <c r="V38" s="58">
        <f>0</f>
        <v>0</v>
      </c>
      <c r="W38" s="58">
        <f>0</f>
        <v>0</v>
      </c>
      <c r="X38" s="58">
        <f>0</f>
        <v>0</v>
      </c>
      <c r="Y38" s="58">
        <f>0</f>
        <v>0</v>
      </c>
      <c r="Z38" s="58">
        <f>0</f>
        <v>0</v>
      </c>
      <c r="AA38" s="58">
        <f>0</f>
        <v>0</v>
      </c>
      <c r="AB38" s="58">
        <f>0</f>
        <v>0</v>
      </c>
      <c r="AC38" s="58">
        <f>0</f>
        <v>0</v>
      </c>
      <c r="AD38" s="58">
        <f>0</f>
        <v>0</v>
      </c>
      <c r="AE38" s="58">
        <f>0</f>
        <v>0</v>
      </c>
      <c r="AF38" s="58">
        <f>0</f>
        <v>0</v>
      </c>
      <c r="AG38" s="58">
        <f>0</f>
        <v>0</v>
      </c>
      <c r="AH38" s="58">
        <f>0</f>
        <v>0</v>
      </c>
      <c r="AI38" s="58">
        <f>0</f>
        <v>0</v>
      </c>
      <c r="AJ38" s="58">
        <f>0</f>
        <v>0</v>
      </c>
      <c r="AK38" s="58">
        <f>0</f>
        <v>0</v>
      </c>
      <c r="AL38" s="59">
        <f>0</f>
        <v>0</v>
      </c>
    </row>
    <row r="39" spans="1:39" ht="15" customHeight="1" outlineLevel="1">
      <c r="A39" s="375" t="s">
        <v>31</v>
      </c>
      <c r="B39" s="47">
        <v>6</v>
      </c>
      <c r="C39" s="376"/>
      <c r="D39" s="353" t="s">
        <v>27</v>
      </c>
      <c r="E39" s="92">
        <f>7081097.47</f>
        <v>7081097.4699999997</v>
      </c>
      <c r="F39" s="50">
        <f>12619063.17</f>
        <v>12619063.17</v>
      </c>
      <c r="G39" s="50">
        <f>12697841</f>
        <v>12697841</v>
      </c>
      <c r="H39" s="51">
        <f>12435799.45</f>
        <v>12435799.449999999</v>
      </c>
      <c r="I39" s="52">
        <f>11607700</f>
        <v>11607700</v>
      </c>
      <c r="J39" s="53">
        <f>10540850</f>
        <v>10540850</v>
      </c>
      <c r="K39" s="53">
        <f>10431000</f>
        <v>10431000</v>
      </c>
      <c r="L39" s="53">
        <f>10031000</f>
        <v>10031000</v>
      </c>
      <c r="M39" s="53">
        <f>9431000</f>
        <v>9431000</v>
      </c>
      <c r="N39" s="53">
        <f>8831000</f>
        <v>8831000</v>
      </c>
      <c r="O39" s="53">
        <f>7631000</f>
        <v>7631000</v>
      </c>
      <c r="P39" s="53">
        <f>6331000</f>
        <v>6331000</v>
      </c>
      <c r="Q39" s="53">
        <f>5131000</f>
        <v>5131000</v>
      </c>
      <c r="R39" s="53">
        <f>3801000</f>
        <v>3801000</v>
      </c>
      <c r="S39" s="53">
        <f>2291000</f>
        <v>2291000</v>
      </c>
      <c r="T39" s="53">
        <f>743000</f>
        <v>743000</v>
      </c>
      <c r="U39" s="53">
        <f>0</f>
        <v>0</v>
      </c>
      <c r="V39" s="53">
        <f>0</f>
        <v>0</v>
      </c>
      <c r="W39" s="53">
        <f>0</f>
        <v>0</v>
      </c>
      <c r="X39" s="53">
        <f>0</f>
        <v>0</v>
      </c>
      <c r="Y39" s="53">
        <f>0</f>
        <v>0</v>
      </c>
      <c r="Z39" s="53">
        <f>0</f>
        <v>0</v>
      </c>
      <c r="AA39" s="53">
        <f>0</f>
        <v>0</v>
      </c>
      <c r="AB39" s="53">
        <f>0</f>
        <v>0</v>
      </c>
      <c r="AC39" s="53">
        <f>0</f>
        <v>0</v>
      </c>
      <c r="AD39" s="53">
        <f>0</f>
        <v>0</v>
      </c>
      <c r="AE39" s="53">
        <f>0</f>
        <v>0</v>
      </c>
      <c r="AF39" s="53">
        <f>0</f>
        <v>0</v>
      </c>
      <c r="AG39" s="53">
        <f>0</f>
        <v>0</v>
      </c>
      <c r="AH39" s="53">
        <f>0</f>
        <v>0</v>
      </c>
      <c r="AI39" s="53">
        <f>0</f>
        <v>0</v>
      </c>
      <c r="AJ39" s="53">
        <f>0</f>
        <v>0</v>
      </c>
      <c r="AK39" s="53">
        <f>0</f>
        <v>0</v>
      </c>
      <c r="AL39" s="54">
        <f>0</f>
        <v>0</v>
      </c>
      <c r="AM39" s="43"/>
    </row>
    <row r="40" spans="1:39" ht="25.5" customHeight="1" outlineLevel="2">
      <c r="B40" s="48" t="s">
        <v>174</v>
      </c>
      <c r="C40" s="354"/>
      <c r="D40" s="355" t="s">
        <v>453</v>
      </c>
      <c r="E40" s="93">
        <f>0</f>
        <v>0</v>
      </c>
      <c r="F40" s="55">
        <f>6480664</f>
        <v>6480664</v>
      </c>
      <c r="G40" s="55">
        <f>3862354.56</f>
        <v>3862354.56</v>
      </c>
      <c r="H40" s="56">
        <f>3110928.58</f>
        <v>3110928.58</v>
      </c>
      <c r="I40" s="57">
        <f>2599177.14</f>
        <v>2599177.14</v>
      </c>
      <c r="J40" s="58">
        <f>0</f>
        <v>0</v>
      </c>
      <c r="K40" s="58">
        <f>0</f>
        <v>0</v>
      </c>
      <c r="L40" s="58">
        <f>0</f>
        <v>0</v>
      </c>
      <c r="M40" s="58">
        <f>0</f>
        <v>0</v>
      </c>
      <c r="N40" s="58">
        <f>0</f>
        <v>0</v>
      </c>
      <c r="O40" s="58">
        <f>0</f>
        <v>0</v>
      </c>
      <c r="P40" s="58">
        <f>0</f>
        <v>0</v>
      </c>
      <c r="Q40" s="58">
        <f>0</f>
        <v>0</v>
      </c>
      <c r="R40" s="58">
        <f>0</f>
        <v>0</v>
      </c>
      <c r="S40" s="58">
        <f>0</f>
        <v>0</v>
      </c>
      <c r="T40" s="58">
        <f>0</f>
        <v>0</v>
      </c>
      <c r="U40" s="58">
        <f>0</f>
        <v>0</v>
      </c>
      <c r="V40" s="58">
        <f>0</f>
        <v>0</v>
      </c>
      <c r="W40" s="58">
        <f>0</f>
        <v>0</v>
      </c>
      <c r="X40" s="58">
        <f>0</f>
        <v>0</v>
      </c>
      <c r="Y40" s="58">
        <f>0</f>
        <v>0</v>
      </c>
      <c r="Z40" s="58">
        <f>0</f>
        <v>0</v>
      </c>
      <c r="AA40" s="58">
        <f>0</f>
        <v>0</v>
      </c>
      <c r="AB40" s="58">
        <f>0</f>
        <v>0</v>
      </c>
      <c r="AC40" s="58">
        <f>0</f>
        <v>0</v>
      </c>
      <c r="AD40" s="58">
        <f>0</f>
        <v>0</v>
      </c>
      <c r="AE40" s="58">
        <f>0</f>
        <v>0</v>
      </c>
      <c r="AF40" s="58">
        <f>0</f>
        <v>0</v>
      </c>
      <c r="AG40" s="58">
        <f>0</f>
        <v>0</v>
      </c>
      <c r="AH40" s="58">
        <f>0</f>
        <v>0</v>
      </c>
      <c r="AI40" s="58">
        <f>0</f>
        <v>0</v>
      </c>
      <c r="AJ40" s="58">
        <f>0</f>
        <v>0</v>
      </c>
      <c r="AK40" s="58">
        <f>0</f>
        <v>0</v>
      </c>
      <c r="AL40" s="59">
        <f>0</f>
        <v>0</v>
      </c>
    </row>
    <row r="41" spans="1:39" ht="15" customHeight="1" outlineLevel="3">
      <c r="B41" s="48" t="s">
        <v>91</v>
      </c>
      <c r="C41" s="354"/>
      <c r="D41" s="356" t="s">
        <v>432</v>
      </c>
      <c r="E41" s="93">
        <f>0</f>
        <v>0</v>
      </c>
      <c r="F41" s="55">
        <f>6480664</f>
        <v>6480664</v>
      </c>
      <c r="G41" s="55">
        <f>3862354.56</f>
        <v>3862354.56</v>
      </c>
      <c r="H41" s="56">
        <f>3110928.58</f>
        <v>3110928.58</v>
      </c>
      <c r="I41" s="57">
        <f>2599177.14</f>
        <v>2599177.14</v>
      </c>
      <c r="J41" s="58">
        <f>0</f>
        <v>0</v>
      </c>
      <c r="K41" s="58">
        <f>0</f>
        <v>0</v>
      </c>
      <c r="L41" s="58">
        <f>0</f>
        <v>0</v>
      </c>
      <c r="M41" s="58">
        <f>0</f>
        <v>0</v>
      </c>
      <c r="N41" s="58">
        <f>0</f>
        <v>0</v>
      </c>
      <c r="O41" s="58">
        <f>0</f>
        <v>0</v>
      </c>
      <c r="P41" s="58">
        <f>0</f>
        <v>0</v>
      </c>
      <c r="Q41" s="58">
        <f>0</f>
        <v>0</v>
      </c>
      <c r="R41" s="58">
        <f>0</f>
        <v>0</v>
      </c>
      <c r="S41" s="58">
        <f>0</f>
        <v>0</v>
      </c>
      <c r="T41" s="58">
        <f>0</f>
        <v>0</v>
      </c>
      <c r="U41" s="58">
        <f>0</f>
        <v>0</v>
      </c>
      <c r="V41" s="58">
        <f>0</f>
        <v>0</v>
      </c>
      <c r="W41" s="58">
        <f>0</f>
        <v>0</v>
      </c>
      <c r="X41" s="58">
        <f>0</f>
        <v>0</v>
      </c>
      <c r="Y41" s="58">
        <f>0</f>
        <v>0</v>
      </c>
      <c r="Z41" s="58">
        <f>0</f>
        <v>0</v>
      </c>
      <c r="AA41" s="58">
        <f>0</f>
        <v>0</v>
      </c>
      <c r="AB41" s="58">
        <f>0</f>
        <v>0</v>
      </c>
      <c r="AC41" s="58">
        <f>0</f>
        <v>0</v>
      </c>
      <c r="AD41" s="58">
        <f>0</f>
        <v>0</v>
      </c>
      <c r="AE41" s="58">
        <f>0</f>
        <v>0</v>
      </c>
      <c r="AF41" s="58">
        <f>0</f>
        <v>0</v>
      </c>
      <c r="AG41" s="58">
        <f>0</f>
        <v>0</v>
      </c>
      <c r="AH41" s="58">
        <f>0</f>
        <v>0</v>
      </c>
      <c r="AI41" s="58">
        <f>0</f>
        <v>0</v>
      </c>
      <c r="AJ41" s="58">
        <f>0</f>
        <v>0</v>
      </c>
      <c r="AK41" s="58">
        <f>0</f>
        <v>0</v>
      </c>
      <c r="AL41" s="59">
        <f>0</f>
        <v>0</v>
      </c>
    </row>
    <row r="42" spans="1:39" ht="25.5" customHeight="1" outlineLevel="2">
      <c r="B42" s="48" t="s">
        <v>175</v>
      </c>
      <c r="C42" s="354"/>
      <c r="D42" s="355" t="s">
        <v>454</v>
      </c>
      <c r="E42" s="95">
        <f>0.4328</f>
        <v>0.43280000000000002</v>
      </c>
      <c r="F42" s="64">
        <f>0.7954</f>
        <v>0.7954</v>
      </c>
      <c r="G42" s="64">
        <f>0.6893</f>
        <v>0.68930000000000002</v>
      </c>
      <c r="H42" s="65">
        <f>0.6718</f>
        <v>0.67179999999999995</v>
      </c>
      <c r="I42" s="66">
        <f>0.6086</f>
        <v>0.60860000000000003</v>
      </c>
      <c r="J42" s="67">
        <f>0.5205</f>
        <v>0.52049999999999996</v>
      </c>
      <c r="K42" s="67">
        <f>0.5927</f>
        <v>0.5927</v>
      </c>
      <c r="L42" s="67">
        <f>0.559</f>
        <v>0.55900000000000005</v>
      </c>
      <c r="M42" s="67">
        <f>0.5171</f>
        <v>0.5171</v>
      </c>
      <c r="N42" s="67">
        <f>0.4762</f>
        <v>0.47620000000000001</v>
      </c>
      <c r="O42" s="67">
        <f>0.4066</f>
        <v>0.40660000000000002</v>
      </c>
      <c r="P42" s="67">
        <f>0.3366</f>
        <v>0.33660000000000001</v>
      </c>
      <c r="Q42" s="67">
        <f>0.265</f>
        <v>0.26500000000000001</v>
      </c>
      <c r="R42" s="67">
        <f>0.1907</f>
        <v>0.19070000000000001</v>
      </c>
      <c r="S42" s="67">
        <f>0.1116</f>
        <v>0.1116</v>
      </c>
      <c r="T42" s="67">
        <f>0.0352</f>
        <v>3.5200000000000002E-2</v>
      </c>
      <c r="U42" s="67">
        <f>0</f>
        <v>0</v>
      </c>
      <c r="V42" s="67">
        <f>0</f>
        <v>0</v>
      </c>
      <c r="W42" s="67">
        <f>0</f>
        <v>0</v>
      </c>
      <c r="X42" s="67">
        <f>0</f>
        <v>0</v>
      </c>
      <c r="Y42" s="67">
        <f>0</f>
        <v>0</v>
      </c>
      <c r="Z42" s="67">
        <f>0</f>
        <v>0</v>
      </c>
      <c r="AA42" s="67">
        <f>0</f>
        <v>0</v>
      </c>
      <c r="AB42" s="67">
        <f>0</f>
        <v>0</v>
      </c>
      <c r="AC42" s="67">
        <f>0</f>
        <v>0</v>
      </c>
      <c r="AD42" s="67">
        <f>0</f>
        <v>0</v>
      </c>
      <c r="AE42" s="67">
        <f>0</f>
        <v>0</v>
      </c>
      <c r="AF42" s="67">
        <f>0</f>
        <v>0</v>
      </c>
      <c r="AG42" s="67">
        <f>0</f>
        <v>0</v>
      </c>
      <c r="AH42" s="67">
        <f>0</f>
        <v>0</v>
      </c>
      <c r="AI42" s="67">
        <f>0</f>
        <v>0</v>
      </c>
      <c r="AJ42" s="67">
        <f>0</f>
        <v>0</v>
      </c>
      <c r="AK42" s="67">
        <f>0</f>
        <v>0</v>
      </c>
      <c r="AL42" s="68">
        <f>0</f>
        <v>0</v>
      </c>
    </row>
    <row r="43" spans="1:39" ht="25.5" customHeight="1" outlineLevel="2">
      <c r="B43" s="48" t="s">
        <v>176</v>
      </c>
      <c r="C43" s="354"/>
      <c r="D43" s="355" t="s">
        <v>455</v>
      </c>
      <c r="E43" s="95">
        <f>0.4328</f>
        <v>0.43280000000000002</v>
      </c>
      <c r="F43" s="64">
        <f>0.3869</f>
        <v>0.38690000000000002</v>
      </c>
      <c r="G43" s="64">
        <f>0.4796</f>
        <v>0.47960000000000003</v>
      </c>
      <c r="H43" s="65">
        <f>0.5038</f>
        <v>0.50380000000000003</v>
      </c>
      <c r="I43" s="66">
        <f>0.4723</f>
        <v>0.4723</v>
      </c>
      <c r="J43" s="67">
        <f>0.5205</f>
        <v>0.52049999999999996</v>
      </c>
      <c r="K43" s="67">
        <f>0.5927</f>
        <v>0.5927</v>
      </c>
      <c r="L43" s="67">
        <f>0.559</f>
        <v>0.55900000000000005</v>
      </c>
      <c r="M43" s="67">
        <f>0.5171</f>
        <v>0.5171</v>
      </c>
      <c r="N43" s="67">
        <f>0.4762</f>
        <v>0.47620000000000001</v>
      </c>
      <c r="O43" s="67">
        <f>0.4066</f>
        <v>0.40660000000000002</v>
      </c>
      <c r="P43" s="67">
        <f>0.3366</f>
        <v>0.33660000000000001</v>
      </c>
      <c r="Q43" s="67">
        <f>0.265</f>
        <v>0.26500000000000001</v>
      </c>
      <c r="R43" s="67">
        <f>0.1907</f>
        <v>0.19070000000000001</v>
      </c>
      <c r="S43" s="67">
        <f>0.1116</f>
        <v>0.1116</v>
      </c>
      <c r="T43" s="67">
        <f>0.0352</f>
        <v>3.5200000000000002E-2</v>
      </c>
      <c r="U43" s="67">
        <f>0</f>
        <v>0</v>
      </c>
      <c r="V43" s="67">
        <f>0</f>
        <v>0</v>
      </c>
      <c r="W43" s="67">
        <f>0</f>
        <v>0</v>
      </c>
      <c r="X43" s="67">
        <f>0</f>
        <v>0</v>
      </c>
      <c r="Y43" s="67">
        <f>0</f>
        <v>0</v>
      </c>
      <c r="Z43" s="67">
        <f>0</f>
        <v>0</v>
      </c>
      <c r="AA43" s="67">
        <f>0</f>
        <v>0</v>
      </c>
      <c r="AB43" s="67">
        <f>0</f>
        <v>0</v>
      </c>
      <c r="AC43" s="67">
        <f>0</f>
        <v>0</v>
      </c>
      <c r="AD43" s="67">
        <f>0</f>
        <v>0</v>
      </c>
      <c r="AE43" s="67">
        <f>0</f>
        <v>0</v>
      </c>
      <c r="AF43" s="67">
        <f>0</f>
        <v>0</v>
      </c>
      <c r="AG43" s="67">
        <f>0</f>
        <v>0</v>
      </c>
      <c r="AH43" s="67">
        <f>0</f>
        <v>0</v>
      </c>
      <c r="AI43" s="67">
        <f>0</f>
        <v>0</v>
      </c>
      <c r="AJ43" s="67">
        <f>0</f>
        <v>0</v>
      </c>
      <c r="AK43" s="67">
        <f>0</f>
        <v>0</v>
      </c>
      <c r="AL43" s="68">
        <f>0</f>
        <v>0</v>
      </c>
    </row>
    <row r="44" spans="1:39" ht="39" customHeight="1" outlineLevel="1">
      <c r="B44" s="47">
        <v>7</v>
      </c>
      <c r="C44" s="376"/>
      <c r="D44" s="353" t="s">
        <v>276</v>
      </c>
      <c r="E44" s="92">
        <f>0</f>
        <v>0</v>
      </c>
      <c r="F44" s="50">
        <f>0</f>
        <v>0</v>
      </c>
      <c r="G44" s="50">
        <f>0</f>
        <v>0</v>
      </c>
      <c r="H44" s="51">
        <f>0</f>
        <v>0</v>
      </c>
      <c r="I44" s="52">
        <f>0</f>
        <v>0</v>
      </c>
      <c r="J44" s="53">
        <f>0</f>
        <v>0</v>
      </c>
      <c r="K44" s="53">
        <f>0</f>
        <v>0</v>
      </c>
      <c r="L44" s="53">
        <f>0</f>
        <v>0</v>
      </c>
      <c r="M44" s="53">
        <f>0</f>
        <v>0</v>
      </c>
      <c r="N44" s="53">
        <f>0</f>
        <v>0</v>
      </c>
      <c r="O44" s="53">
        <f>0</f>
        <v>0</v>
      </c>
      <c r="P44" s="53">
        <f>0</f>
        <v>0</v>
      </c>
      <c r="Q44" s="53">
        <f>0</f>
        <v>0</v>
      </c>
      <c r="R44" s="53">
        <f>0</f>
        <v>0</v>
      </c>
      <c r="S44" s="53">
        <f>0</f>
        <v>0</v>
      </c>
      <c r="T44" s="53">
        <f>0</f>
        <v>0</v>
      </c>
      <c r="U44" s="53">
        <f>0</f>
        <v>0</v>
      </c>
      <c r="V44" s="53">
        <f>0</f>
        <v>0</v>
      </c>
      <c r="W44" s="53">
        <f>0</f>
        <v>0</v>
      </c>
      <c r="X44" s="53">
        <f>0</f>
        <v>0</v>
      </c>
      <c r="Y44" s="53">
        <f>0</f>
        <v>0</v>
      </c>
      <c r="Z44" s="53">
        <f>0</f>
        <v>0</v>
      </c>
      <c r="AA44" s="53">
        <f>0</f>
        <v>0</v>
      </c>
      <c r="AB44" s="53">
        <f>0</f>
        <v>0</v>
      </c>
      <c r="AC44" s="53">
        <f>0</f>
        <v>0</v>
      </c>
      <c r="AD44" s="53">
        <f>0</f>
        <v>0</v>
      </c>
      <c r="AE44" s="53">
        <f>0</f>
        <v>0</v>
      </c>
      <c r="AF44" s="53">
        <f>0</f>
        <v>0</v>
      </c>
      <c r="AG44" s="53">
        <f>0</f>
        <v>0</v>
      </c>
      <c r="AH44" s="53">
        <f>0</f>
        <v>0</v>
      </c>
      <c r="AI44" s="53">
        <f>0</f>
        <v>0</v>
      </c>
      <c r="AJ44" s="53">
        <f>0</f>
        <v>0</v>
      </c>
      <c r="AK44" s="53">
        <f>0</f>
        <v>0</v>
      </c>
      <c r="AL44" s="54">
        <f>0</f>
        <v>0</v>
      </c>
      <c r="AM44" s="43"/>
    </row>
    <row r="45" spans="1:39" ht="15" customHeight="1" outlineLevel="1">
      <c r="B45" s="47">
        <v>8</v>
      </c>
      <c r="C45" s="376"/>
      <c r="D45" s="353" t="s">
        <v>177</v>
      </c>
      <c r="E45" s="96" t="s">
        <v>31</v>
      </c>
      <c r="F45" s="69" t="s">
        <v>31</v>
      </c>
      <c r="G45" s="69" t="s">
        <v>31</v>
      </c>
      <c r="H45" s="70" t="s">
        <v>31</v>
      </c>
      <c r="I45" s="71" t="s">
        <v>31</v>
      </c>
      <c r="J45" s="72" t="s">
        <v>31</v>
      </c>
      <c r="K45" s="72" t="s">
        <v>31</v>
      </c>
      <c r="L45" s="72" t="s">
        <v>31</v>
      </c>
      <c r="M45" s="72" t="s">
        <v>31</v>
      </c>
      <c r="N45" s="72" t="s">
        <v>31</v>
      </c>
      <c r="O45" s="72" t="s">
        <v>31</v>
      </c>
      <c r="P45" s="72" t="s">
        <v>31</v>
      </c>
      <c r="Q45" s="72" t="s">
        <v>31</v>
      </c>
      <c r="R45" s="72" t="s">
        <v>31</v>
      </c>
      <c r="S45" s="72" t="s">
        <v>31</v>
      </c>
      <c r="T45" s="72" t="s">
        <v>31</v>
      </c>
      <c r="U45" s="72" t="s">
        <v>31</v>
      </c>
      <c r="V45" s="72" t="s">
        <v>31</v>
      </c>
      <c r="W45" s="72" t="s">
        <v>31</v>
      </c>
      <c r="X45" s="72" t="s">
        <v>31</v>
      </c>
      <c r="Y45" s="72" t="s">
        <v>31</v>
      </c>
      <c r="Z45" s="72" t="s">
        <v>31</v>
      </c>
      <c r="AA45" s="72" t="s">
        <v>31</v>
      </c>
      <c r="AB45" s="72" t="s">
        <v>31</v>
      </c>
      <c r="AC45" s="72" t="s">
        <v>31</v>
      </c>
      <c r="AD45" s="72" t="s">
        <v>31</v>
      </c>
      <c r="AE45" s="72" t="s">
        <v>31</v>
      </c>
      <c r="AF45" s="72" t="s">
        <v>31</v>
      </c>
      <c r="AG45" s="72" t="s">
        <v>31</v>
      </c>
      <c r="AH45" s="72" t="s">
        <v>31</v>
      </c>
      <c r="AI45" s="72" t="s">
        <v>31</v>
      </c>
      <c r="AJ45" s="72" t="s">
        <v>31</v>
      </c>
      <c r="AK45" s="72" t="s">
        <v>31</v>
      </c>
      <c r="AL45" s="73" t="s">
        <v>31</v>
      </c>
      <c r="AM45" s="43"/>
    </row>
    <row r="46" spans="1:39" ht="15" customHeight="1" outlineLevel="2">
      <c r="B46" s="48" t="s">
        <v>178</v>
      </c>
      <c r="C46" s="354"/>
      <c r="D46" s="355" t="s">
        <v>275</v>
      </c>
      <c r="E46" s="93">
        <f>-855227.29</f>
        <v>-855227.29</v>
      </c>
      <c r="F46" s="55">
        <f>12274.48</f>
        <v>12274.48</v>
      </c>
      <c r="G46" s="55">
        <f>-92653</f>
        <v>-92653</v>
      </c>
      <c r="H46" s="56">
        <f>513374.71</f>
        <v>513374.71</v>
      </c>
      <c r="I46" s="57">
        <f>-413988</f>
        <v>-413988</v>
      </c>
      <c r="J46" s="58">
        <f>527017</f>
        <v>527017</v>
      </c>
      <c r="K46" s="58">
        <f>1026327</f>
        <v>1026327</v>
      </c>
      <c r="L46" s="58">
        <f>1297417</f>
        <v>1297417</v>
      </c>
      <c r="M46" s="58">
        <f>1403340</f>
        <v>1403340</v>
      </c>
      <c r="N46" s="58">
        <f>1504150</f>
        <v>1504150</v>
      </c>
      <c r="O46" s="58">
        <f>1406904</f>
        <v>1406904</v>
      </c>
      <c r="P46" s="58">
        <f>1247662</f>
        <v>1247662</v>
      </c>
      <c r="Q46" s="58">
        <f>2096481</f>
        <v>2096481</v>
      </c>
      <c r="R46" s="58">
        <f>2241426</f>
        <v>2241426</v>
      </c>
      <c r="S46" s="58">
        <f>2396559</f>
        <v>2396559</v>
      </c>
      <c r="T46" s="58">
        <f>2563945</f>
        <v>2563945</v>
      </c>
      <c r="U46" s="58">
        <f>2736654</f>
        <v>2736654</v>
      </c>
      <c r="V46" s="58">
        <f>0</f>
        <v>0</v>
      </c>
      <c r="W46" s="58">
        <f>0</f>
        <v>0</v>
      </c>
      <c r="X46" s="58">
        <f>0</f>
        <v>0</v>
      </c>
      <c r="Y46" s="58">
        <f>0</f>
        <v>0</v>
      </c>
      <c r="Z46" s="58">
        <f>0</f>
        <v>0</v>
      </c>
      <c r="AA46" s="58">
        <f>0</f>
        <v>0</v>
      </c>
      <c r="AB46" s="58">
        <f>0</f>
        <v>0</v>
      </c>
      <c r="AC46" s="58">
        <f>0</f>
        <v>0</v>
      </c>
      <c r="AD46" s="58">
        <f>0</f>
        <v>0</v>
      </c>
      <c r="AE46" s="58">
        <f>0</f>
        <v>0</v>
      </c>
      <c r="AF46" s="58">
        <f>0</f>
        <v>0</v>
      </c>
      <c r="AG46" s="58">
        <f>0</f>
        <v>0</v>
      </c>
      <c r="AH46" s="58">
        <f>0</f>
        <v>0</v>
      </c>
      <c r="AI46" s="58">
        <f>0</f>
        <v>0</v>
      </c>
      <c r="AJ46" s="58">
        <f>0</f>
        <v>0</v>
      </c>
      <c r="AK46" s="58">
        <f>0</f>
        <v>0</v>
      </c>
      <c r="AL46" s="59">
        <f>0</f>
        <v>0</v>
      </c>
    </row>
    <row r="47" spans="1:39" ht="39" customHeight="1" outlineLevel="2">
      <c r="B47" s="48" t="s">
        <v>179</v>
      </c>
      <c r="C47" s="354"/>
      <c r="D47" s="355" t="s">
        <v>456</v>
      </c>
      <c r="E47" s="93">
        <f>-855227.29</f>
        <v>-855227.29</v>
      </c>
      <c r="F47" s="55">
        <f>12274.48</f>
        <v>12274.48</v>
      </c>
      <c r="G47" s="55">
        <f>2094138</f>
        <v>2094138</v>
      </c>
      <c r="H47" s="56">
        <f>2745681.55</f>
        <v>2745681.55</v>
      </c>
      <c r="I47" s="57">
        <f>1638012</f>
        <v>1638012</v>
      </c>
      <c r="J47" s="58">
        <f>527017</f>
        <v>527017</v>
      </c>
      <c r="K47" s="58">
        <f>1026327</f>
        <v>1026327</v>
      </c>
      <c r="L47" s="58">
        <f>1297417</f>
        <v>1297417</v>
      </c>
      <c r="M47" s="58">
        <f>1403340</f>
        <v>1403340</v>
      </c>
      <c r="N47" s="58">
        <f>1504150</f>
        <v>1504150</v>
      </c>
      <c r="O47" s="58">
        <f>1406904</f>
        <v>1406904</v>
      </c>
      <c r="P47" s="58">
        <f>1247662</f>
        <v>1247662</v>
      </c>
      <c r="Q47" s="58">
        <f>2096481</f>
        <v>2096481</v>
      </c>
      <c r="R47" s="58">
        <f>2241426</f>
        <v>2241426</v>
      </c>
      <c r="S47" s="58">
        <f>2396559</f>
        <v>2396559</v>
      </c>
      <c r="T47" s="58">
        <f>2563945</f>
        <v>2563945</v>
      </c>
      <c r="U47" s="58">
        <f>2736654</f>
        <v>2736654</v>
      </c>
      <c r="V47" s="58">
        <f>0</f>
        <v>0</v>
      </c>
      <c r="W47" s="58">
        <f>0</f>
        <v>0</v>
      </c>
      <c r="X47" s="58">
        <f>0</f>
        <v>0</v>
      </c>
      <c r="Y47" s="58">
        <f>0</f>
        <v>0</v>
      </c>
      <c r="Z47" s="58">
        <f>0</f>
        <v>0</v>
      </c>
      <c r="AA47" s="58">
        <f>0</f>
        <v>0</v>
      </c>
      <c r="AB47" s="58">
        <f>0</f>
        <v>0</v>
      </c>
      <c r="AC47" s="58">
        <f>0</f>
        <v>0</v>
      </c>
      <c r="AD47" s="58">
        <f>0</f>
        <v>0</v>
      </c>
      <c r="AE47" s="58">
        <f>0</f>
        <v>0</v>
      </c>
      <c r="AF47" s="58">
        <f>0</f>
        <v>0</v>
      </c>
      <c r="AG47" s="58">
        <f>0</f>
        <v>0</v>
      </c>
      <c r="AH47" s="58">
        <f>0</f>
        <v>0</v>
      </c>
      <c r="AI47" s="58">
        <f>0</f>
        <v>0</v>
      </c>
      <c r="AJ47" s="58">
        <f>0</f>
        <v>0</v>
      </c>
      <c r="AK47" s="58">
        <f>0</f>
        <v>0</v>
      </c>
      <c r="AL47" s="59">
        <f>0</f>
        <v>0</v>
      </c>
    </row>
    <row r="48" spans="1:39" ht="15" customHeight="1" outlineLevel="1">
      <c r="A48" s="375" t="s">
        <v>31</v>
      </c>
      <c r="B48" s="47">
        <v>9</v>
      </c>
      <c r="C48" s="376"/>
      <c r="D48" s="353" t="s">
        <v>180</v>
      </c>
      <c r="E48" s="96" t="s">
        <v>31</v>
      </c>
      <c r="F48" s="69" t="s">
        <v>31</v>
      </c>
      <c r="G48" s="69" t="s">
        <v>31</v>
      </c>
      <c r="H48" s="70" t="s">
        <v>31</v>
      </c>
      <c r="I48" s="71" t="s">
        <v>31</v>
      </c>
      <c r="J48" s="72" t="s">
        <v>31</v>
      </c>
      <c r="K48" s="72" t="s">
        <v>31</v>
      </c>
      <c r="L48" s="72" t="s">
        <v>31</v>
      </c>
      <c r="M48" s="72" t="s">
        <v>31</v>
      </c>
      <c r="N48" s="72" t="s">
        <v>31</v>
      </c>
      <c r="O48" s="72" t="s">
        <v>31</v>
      </c>
      <c r="P48" s="72" t="s">
        <v>31</v>
      </c>
      <c r="Q48" s="72" t="s">
        <v>31</v>
      </c>
      <c r="R48" s="72" t="s">
        <v>31</v>
      </c>
      <c r="S48" s="72" t="s">
        <v>31</v>
      </c>
      <c r="T48" s="72" t="s">
        <v>31</v>
      </c>
      <c r="U48" s="72" t="s">
        <v>31</v>
      </c>
      <c r="V48" s="72" t="s">
        <v>31</v>
      </c>
      <c r="W48" s="72" t="s">
        <v>31</v>
      </c>
      <c r="X48" s="72" t="s">
        <v>31</v>
      </c>
      <c r="Y48" s="72" t="s">
        <v>31</v>
      </c>
      <c r="Z48" s="72" t="s">
        <v>31</v>
      </c>
      <c r="AA48" s="72" t="s">
        <v>31</v>
      </c>
      <c r="AB48" s="72" t="s">
        <v>31</v>
      </c>
      <c r="AC48" s="72" t="s">
        <v>31</v>
      </c>
      <c r="AD48" s="72" t="s">
        <v>31</v>
      </c>
      <c r="AE48" s="72" t="s">
        <v>31</v>
      </c>
      <c r="AF48" s="72" t="s">
        <v>31</v>
      </c>
      <c r="AG48" s="72" t="s">
        <v>31</v>
      </c>
      <c r="AH48" s="72" t="s">
        <v>31</v>
      </c>
      <c r="AI48" s="72" t="s">
        <v>31</v>
      </c>
      <c r="AJ48" s="72" t="s">
        <v>31</v>
      </c>
      <c r="AK48" s="72" t="s">
        <v>31</v>
      </c>
      <c r="AL48" s="73" t="s">
        <v>31</v>
      </c>
      <c r="AM48" s="43"/>
    </row>
    <row r="49" spans="1:39" ht="25.5" customHeight="1" outlineLevel="2">
      <c r="B49" s="48" t="s">
        <v>181</v>
      </c>
      <c r="C49" s="354"/>
      <c r="D49" s="355" t="s">
        <v>457</v>
      </c>
      <c r="E49" s="95">
        <f>0.0227</f>
        <v>2.2700000000000001E-2</v>
      </c>
      <c r="F49" s="64">
        <f>0.2106</f>
        <v>0.21060000000000001</v>
      </c>
      <c r="G49" s="64">
        <f>0.2237</f>
        <v>0.22370000000000001</v>
      </c>
      <c r="H49" s="65">
        <f>0.2218</f>
        <v>0.2218</v>
      </c>
      <c r="I49" s="66">
        <f>0.1502</f>
        <v>0.1502</v>
      </c>
      <c r="J49" s="67">
        <f>0.0794</f>
        <v>7.9399999999999998E-2</v>
      </c>
      <c r="K49" s="67">
        <f>0.0423</f>
        <v>4.2299999999999997E-2</v>
      </c>
      <c r="L49" s="67">
        <f>0.0557</f>
        <v>5.57E-2</v>
      </c>
      <c r="M49" s="67">
        <f>0.0634</f>
        <v>6.3399999999999998E-2</v>
      </c>
      <c r="N49" s="67">
        <f>0.0604</f>
        <v>6.0400000000000002E-2</v>
      </c>
      <c r="O49" s="67">
        <f>0.0898</f>
        <v>8.9800000000000005E-2</v>
      </c>
      <c r="P49" s="67">
        <f>0.0911</f>
        <v>9.11E-2</v>
      </c>
      <c r="Q49" s="67">
        <f>0.0793</f>
        <v>7.9299999999999995E-2</v>
      </c>
      <c r="R49" s="67">
        <f>0.0799</f>
        <v>7.9899999999999999E-2</v>
      </c>
      <c r="S49" s="67">
        <f>0.0825</f>
        <v>8.2500000000000004E-2</v>
      </c>
      <c r="T49" s="67">
        <f>0.0777</f>
        <v>7.7700000000000005E-2</v>
      </c>
      <c r="U49" s="67">
        <f>0.0356</f>
        <v>3.56E-2</v>
      </c>
      <c r="V49" s="67">
        <f>0</f>
        <v>0</v>
      </c>
      <c r="W49" s="67">
        <f>0</f>
        <v>0</v>
      </c>
      <c r="X49" s="67">
        <f>0</f>
        <v>0</v>
      </c>
      <c r="Y49" s="67">
        <f>0</f>
        <v>0</v>
      </c>
      <c r="Z49" s="67">
        <f>0</f>
        <v>0</v>
      </c>
      <c r="AA49" s="67">
        <f>0</f>
        <v>0</v>
      </c>
      <c r="AB49" s="67">
        <f>0</f>
        <v>0</v>
      </c>
      <c r="AC49" s="67">
        <f>0</f>
        <v>0</v>
      </c>
      <c r="AD49" s="67">
        <f>0</f>
        <v>0</v>
      </c>
      <c r="AE49" s="67">
        <f>0</f>
        <v>0</v>
      </c>
      <c r="AF49" s="67">
        <f>0</f>
        <v>0</v>
      </c>
      <c r="AG49" s="67">
        <f>0</f>
        <v>0</v>
      </c>
      <c r="AH49" s="67">
        <f>0</f>
        <v>0</v>
      </c>
      <c r="AI49" s="67">
        <f>0</f>
        <v>0</v>
      </c>
      <c r="AJ49" s="67">
        <f>0</f>
        <v>0</v>
      </c>
      <c r="AK49" s="67">
        <f>0</f>
        <v>0</v>
      </c>
      <c r="AL49" s="68">
        <f>0</f>
        <v>0</v>
      </c>
    </row>
    <row r="50" spans="1:39" ht="25.5" customHeight="1" outlineLevel="2">
      <c r="B50" s="48" t="s">
        <v>182</v>
      </c>
      <c r="C50" s="354"/>
      <c r="D50" s="355" t="s">
        <v>235</v>
      </c>
      <c r="E50" s="95">
        <f>0.0227</f>
        <v>2.2700000000000001E-2</v>
      </c>
      <c r="F50" s="64">
        <f>0.2106</f>
        <v>0.21060000000000001</v>
      </c>
      <c r="G50" s="64">
        <f>0.2237</f>
        <v>0.22370000000000001</v>
      </c>
      <c r="H50" s="65">
        <f>0.0761</f>
        <v>7.6100000000000001E-2</v>
      </c>
      <c r="I50" s="66">
        <f>0.126</f>
        <v>0.126</v>
      </c>
      <c r="J50" s="67">
        <f>0.0272</f>
        <v>2.7199999999999998E-2</v>
      </c>
      <c r="K50" s="67">
        <f>0.0423</f>
        <v>4.2299999999999997E-2</v>
      </c>
      <c r="L50" s="67">
        <f>0.0557</f>
        <v>5.57E-2</v>
      </c>
      <c r="M50" s="67">
        <f>0.0634</f>
        <v>6.3399999999999998E-2</v>
      </c>
      <c r="N50" s="67">
        <f>0.0604</f>
        <v>6.0400000000000002E-2</v>
      </c>
      <c r="O50" s="67">
        <f>0.0898</f>
        <v>8.9800000000000005E-2</v>
      </c>
      <c r="P50" s="67">
        <f>0.0911</f>
        <v>9.11E-2</v>
      </c>
      <c r="Q50" s="67">
        <f>0.0793</f>
        <v>7.9299999999999995E-2</v>
      </c>
      <c r="R50" s="67">
        <f>0.0799</f>
        <v>7.9899999999999999E-2</v>
      </c>
      <c r="S50" s="67">
        <f>0.0825</f>
        <v>8.2500000000000004E-2</v>
      </c>
      <c r="T50" s="67">
        <f>0.0777</f>
        <v>7.7700000000000005E-2</v>
      </c>
      <c r="U50" s="67">
        <f>0.0356</f>
        <v>3.56E-2</v>
      </c>
      <c r="V50" s="67">
        <f>0</f>
        <v>0</v>
      </c>
      <c r="W50" s="67">
        <f>0</f>
        <v>0</v>
      </c>
      <c r="X50" s="67">
        <f>0</f>
        <v>0</v>
      </c>
      <c r="Y50" s="67">
        <f>0</f>
        <v>0</v>
      </c>
      <c r="Z50" s="67">
        <f>0</f>
        <v>0</v>
      </c>
      <c r="AA50" s="67">
        <f>0</f>
        <v>0</v>
      </c>
      <c r="AB50" s="67">
        <f>0</f>
        <v>0</v>
      </c>
      <c r="AC50" s="67">
        <f>0</f>
        <v>0</v>
      </c>
      <c r="AD50" s="67">
        <f>0</f>
        <v>0</v>
      </c>
      <c r="AE50" s="67">
        <f>0</f>
        <v>0</v>
      </c>
      <c r="AF50" s="67">
        <f>0</f>
        <v>0</v>
      </c>
      <c r="AG50" s="67">
        <f>0</f>
        <v>0</v>
      </c>
      <c r="AH50" s="67">
        <f>0</f>
        <v>0</v>
      </c>
      <c r="AI50" s="67">
        <f>0</f>
        <v>0</v>
      </c>
      <c r="AJ50" s="67">
        <f>0</f>
        <v>0</v>
      </c>
      <c r="AK50" s="67">
        <f>0</f>
        <v>0</v>
      </c>
      <c r="AL50" s="68">
        <f>0</f>
        <v>0</v>
      </c>
    </row>
    <row r="51" spans="1:39" ht="38.25" customHeight="1" outlineLevel="2">
      <c r="A51" s="375" t="s">
        <v>31</v>
      </c>
      <c r="B51" s="48" t="s">
        <v>183</v>
      </c>
      <c r="C51" s="354"/>
      <c r="D51" s="355" t="s">
        <v>237</v>
      </c>
      <c r="E51" s="95">
        <f>0.0227</f>
        <v>2.2700000000000001E-2</v>
      </c>
      <c r="F51" s="64">
        <f>0.2106</f>
        <v>0.21060000000000001</v>
      </c>
      <c r="G51" s="64">
        <f>0.2237</f>
        <v>0.22370000000000001</v>
      </c>
      <c r="H51" s="65">
        <f>0.2218</f>
        <v>0.2218</v>
      </c>
      <c r="I51" s="66">
        <f>0.1502</f>
        <v>0.1502</v>
      </c>
      <c r="J51" s="67">
        <f>0.0794</f>
        <v>7.9399999999999998E-2</v>
      </c>
      <c r="K51" s="67">
        <f>0.0423</f>
        <v>4.2299999999999997E-2</v>
      </c>
      <c r="L51" s="67">
        <f>0.0557</f>
        <v>5.57E-2</v>
      </c>
      <c r="M51" s="67">
        <f>0.0634</f>
        <v>6.3399999999999998E-2</v>
      </c>
      <c r="N51" s="67">
        <f>0.0604</f>
        <v>6.0400000000000002E-2</v>
      </c>
      <c r="O51" s="67">
        <f>0.0898</f>
        <v>8.9800000000000005E-2</v>
      </c>
      <c r="P51" s="67">
        <f>0.0911</f>
        <v>9.11E-2</v>
      </c>
      <c r="Q51" s="67">
        <f>0.0793</f>
        <v>7.9299999999999995E-2</v>
      </c>
      <c r="R51" s="67">
        <f>0.0799</f>
        <v>7.9899999999999999E-2</v>
      </c>
      <c r="S51" s="67">
        <f>0.0825</f>
        <v>8.2500000000000004E-2</v>
      </c>
      <c r="T51" s="67">
        <f>0.0777</f>
        <v>7.7700000000000005E-2</v>
      </c>
      <c r="U51" s="67">
        <f>0.0356</f>
        <v>3.56E-2</v>
      </c>
      <c r="V51" s="67">
        <f>0</f>
        <v>0</v>
      </c>
      <c r="W51" s="67">
        <f>0</f>
        <v>0</v>
      </c>
      <c r="X51" s="67">
        <f>0</f>
        <v>0</v>
      </c>
      <c r="Y51" s="67">
        <f>0</f>
        <v>0</v>
      </c>
      <c r="Z51" s="67">
        <f>0</f>
        <v>0</v>
      </c>
      <c r="AA51" s="67">
        <f>0</f>
        <v>0</v>
      </c>
      <c r="AB51" s="67">
        <f>0</f>
        <v>0</v>
      </c>
      <c r="AC51" s="67">
        <f>0</f>
        <v>0</v>
      </c>
      <c r="AD51" s="67">
        <f>0</f>
        <v>0</v>
      </c>
      <c r="AE51" s="67">
        <f>0</f>
        <v>0</v>
      </c>
      <c r="AF51" s="67">
        <f>0</f>
        <v>0</v>
      </c>
      <c r="AG51" s="67">
        <f>0</f>
        <v>0</v>
      </c>
      <c r="AH51" s="67">
        <f>0</f>
        <v>0</v>
      </c>
      <c r="AI51" s="67">
        <f>0</f>
        <v>0</v>
      </c>
      <c r="AJ51" s="67">
        <f>0</f>
        <v>0</v>
      </c>
      <c r="AK51" s="67">
        <f>0</f>
        <v>0</v>
      </c>
      <c r="AL51" s="68">
        <f>0</f>
        <v>0</v>
      </c>
    </row>
    <row r="52" spans="1:39" ht="38.25" customHeight="1" outlineLevel="2">
      <c r="A52" s="375" t="s">
        <v>31</v>
      </c>
      <c r="B52" s="48" t="s">
        <v>184</v>
      </c>
      <c r="C52" s="354"/>
      <c r="D52" s="355" t="s">
        <v>236</v>
      </c>
      <c r="E52" s="95">
        <f>0.0227</f>
        <v>2.2700000000000001E-2</v>
      </c>
      <c r="F52" s="64">
        <f>0.2106</f>
        <v>0.21060000000000001</v>
      </c>
      <c r="G52" s="64">
        <f>0.2237</f>
        <v>0.22370000000000001</v>
      </c>
      <c r="H52" s="65">
        <f>0.0761</f>
        <v>7.6100000000000001E-2</v>
      </c>
      <c r="I52" s="66">
        <f>0.126</f>
        <v>0.126</v>
      </c>
      <c r="J52" s="67">
        <f>0.0272</f>
        <v>2.7199999999999998E-2</v>
      </c>
      <c r="K52" s="67">
        <f>0.0423</f>
        <v>4.2299999999999997E-2</v>
      </c>
      <c r="L52" s="67">
        <f>0.0557</f>
        <v>5.57E-2</v>
      </c>
      <c r="M52" s="67">
        <f>0.0634</f>
        <v>6.3399999999999998E-2</v>
      </c>
      <c r="N52" s="67">
        <f>0.0604</f>
        <v>6.0400000000000002E-2</v>
      </c>
      <c r="O52" s="67">
        <f>0.0898</f>
        <v>8.9800000000000005E-2</v>
      </c>
      <c r="P52" s="67">
        <f>0.0911</f>
        <v>9.11E-2</v>
      </c>
      <c r="Q52" s="67">
        <f>0.0793</f>
        <v>7.9299999999999995E-2</v>
      </c>
      <c r="R52" s="67">
        <f>0.0799</f>
        <v>7.9899999999999999E-2</v>
      </c>
      <c r="S52" s="67">
        <f>0.0825</f>
        <v>8.2500000000000004E-2</v>
      </c>
      <c r="T52" s="67">
        <f>0.0777</f>
        <v>7.7700000000000005E-2</v>
      </c>
      <c r="U52" s="67">
        <f>0.0356</f>
        <v>3.56E-2</v>
      </c>
      <c r="V52" s="67">
        <f>0</f>
        <v>0</v>
      </c>
      <c r="W52" s="67">
        <f>0</f>
        <v>0</v>
      </c>
      <c r="X52" s="67">
        <f>0</f>
        <v>0</v>
      </c>
      <c r="Y52" s="67">
        <f>0</f>
        <v>0</v>
      </c>
      <c r="Z52" s="67">
        <f>0</f>
        <v>0</v>
      </c>
      <c r="AA52" s="67">
        <f>0</f>
        <v>0</v>
      </c>
      <c r="AB52" s="67">
        <f>0</f>
        <v>0</v>
      </c>
      <c r="AC52" s="67">
        <f>0</f>
        <v>0</v>
      </c>
      <c r="AD52" s="67">
        <f>0</f>
        <v>0</v>
      </c>
      <c r="AE52" s="67">
        <f>0</f>
        <v>0</v>
      </c>
      <c r="AF52" s="67">
        <f>0</f>
        <v>0</v>
      </c>
      <c r="AG52" s="67">
        <f>0</f>
        <v>0</v>
      </c>
      <c r="AH52" s="67">
        <f>0</f>
        <v>0</v>
      </c>
      <c r="AI52" s="67">
        <f>0</f>
        <v>0</v>
      </c>
      <c r="AJ52" s="67">
        <f>0</f>
        <v>0</v>
      </c>
      <c r="AK52" s="67">
        <f>0</f>
        <v>0</v>
      </c>
      <c r="AL52" s="68">
        <f>0</f>
        <v>0</v>
      </c>
    </row>
    <row r="53" spans="1:39" ht="25.5" customHeight="1" outlineLevel="2">
      <c r="A53" s="375" t="s">
        <v>31</v>
      </c>
      <c r="B53" s="48" t="s">
        <v>185</v>
      </c>
      <c r="C53" s="354"/>
      <c r="D53" s="355" t="s">
        <v>238</v>
      </c>
      <c r="E53" s="93">
        <f>0</f>
        <v>0</v>
      </c>
      <c r="F53" s="55">
        <f>0</f>
        <v>0</v>
      </c>
      <c r="G53" s="55">
        <f>0</f>
        <v>0</v>
      </c>
      <c r="H53" s="56">
        <f>0</f>
        <v>0</v>
      </c>
      <c r="I53" s="57">
        <f>0</f>
        <v>0</v>
      </c>
      <c r="J53" s="58">
        <f>0</f>
        <v>0</v>
      </c>
      <c r="K53" s="58">
        <f>0</f>
        <v>0</v>
      </c>
      <c r="L53" s="58">
        <f>0</f>
        <v>0</v>
      </c>
      <c r="M53" s="58">
        <f>0</f>
        <v>0</v>
      </c>
      <c r="N53" s="58">
        <f>0</f>
        <v>0</v>
      </c>
      <c r="O53" s="58">
        <f>0</f>
        <v>0</v>
      </c>
      <c r="P53" s="58">
        <f>0</f>
        <v>0</v>
      </c>
      <c r="Q53" s="58">
        <f>0</f>
        <v>0</v>
      </c>
      <c r="R53" s="58">
        <f>0</f>
        <v>0</v>
      </c>
      <c r="S53" s="58">
        <f>0</f>
        <v>0</v>
      </c>
      <c r="T53" s="58">
        <f>0</f>
        <v>0</v>
      </c>
      <c r="U53" s="58">
        <f>0</f>
        <v>0</v>
      </c>
      <c r="V53" s="58">
        <f>0</f>
        <v>0</v>
      </c>
      <c r="W53" s="58">
        <f>0</f>
        <v>0</v>
      </c>
      <c r="X53" s="58">
        <f>0</f>
        <v>0</v>
      </c>
      <c r="Y53" s="58">
        <f>0</f>
        <v>0</v>
      </c>
      <c r="Z53" s="58">
        <f>0</f>
        <v>0</v>
      </c>
      <c r="AA53" s="58">
        <f>0</f>
        <v>0</v>
      </c>
      <c r="AB53" s="58">
        <f>0</f>
        <v>0</v>
      </c>
      <c r="AC53" s="58">
        <f>0</f>
        <v>0</v>
      </c>
      <c r="AD53" s="58">
        <f>0</f>
        <v>0</v>
      </c>
      <c r="AE53" s="58">
        <f>0</f>
        <v>0</v>
      </c>
      <c r="AF53" s="58">
        <f>0</f>
        <v>0</v>
      </c>
      <c r="AG53" s="58">
        <f>0</f>
        <v>0</v>
      </c>
      <c r="AH53" s="58">
        <f>0</f>
        <v>0</v>
      </c>
      <c r="AI53" s="58">
        <f>0</f>
        <v>0</v>
      </c>
      <c r="AJ53" s="58">
        <f>0</f>
        <v>0</v>
      </c>
      <c r="AK53" s="58">
        <f>0</f>
        <v>0</v>
      </c>
      <c r="AL53" s="59">
        <f>0</f>
        <v>0</v>
      </c>
    </row>
    <row r="54" spans="1:39" ht="38.25" customHeight="1" outlineLevel="2">
      <c r="A54" s="375" t="s">
        <v>31</v>
      </c>
      <c r="B54" s="48" t="s">
        <v>186</v>
      </c>
      <c r="C54" s="354"/>
      <c r="D54" s="355" t="s">
        <v>239</v>
      </c>
      <c r="E54" s="95">
        <f>0.0227</f>
        <v>2.2700000000000001E-2</v>
      </c>
      <c r="F54" s="64">
        <f>0.2106</f>
        <v>0.21060000000000001</v>
      </c>
      <c r="G54" s="64">
        <f>0.2237</f>
        <v>0.22370000000000001</v>
      </c>
      <c r="H54" s="65">
        <f>0.0761</f>
        <v>7.6100000000000001E-2</v>
      </c>
      <c r="I54" s="66">
        <f>0.126</f>
        <v>0.126</v>
      </c>
      <c r="J54" s="67">
        <f>0.0272</f>
        <v>2.7199999999999998E-2</v>
      </c>
      <c r="K54" s="67">
        <f>0.0423</f>
        <v>4.2299999999999997E-2</v>
      </c>
      <c r="L54" s="67">
        <f>0.0557</f>
        <v>5.57E-2</v>
      </c>
      <c r="M54" s="67">
        <f>0.0634</f>
        <v>6.3399999999999998E-2</v>
      </c>
      <c r="N54" s="67">
        <f>0.0604</f>
        <v>6.0400000000000002E-2</v>
      </c>
      <c r="O54" s="67">
        <f>0.0898</f>
        <v>8.9800000000000005E-2</v>
      </c>
      <c r="P54" s="67">
        <f>0.0911</f>
        <v>9.11E-2</v>
      </c>
      <c r="Q54" s="67">
        <f>0.0793</f>
        <v>7.9299999999999995E-2</v>
      </c>
      <c r="R54" s="67">
        <f>0.0799</f>
        <v>7.9899999999999999E-2</v>
      </c>
      <c r="S54" s="67">
        <f>0.0825</f>
        <v>8.2500000000000004E-2</v>
      </c>
      <c r="T54" s="67">
        <f>0.0777</f>
        <v>7.7700000000000005E-2</v>
      </c>
      <c r="U54" s="67">
        <f>0.0356</f>
        <v>3.56E-2</v>
      </c>
      <c r="V54" s="67">
        <f>0</f>
        <v>0</v>
      </c>
      <c r="W54" s="67">
        <f>0</f>
        <v>0</v>
      </c>
      <c r="X54" s="67">
        <f>0</f>
        <v>0</v>
      </c>
      <c r="Y54" s="67">
        <f>0</f>
        <v>0</v>
      </c>
      <c r="Z54" s="67">
        <f>0</f>
        <v>0</v>
      </c>
      <c r="AA54" s="67">
        <f>0</f>
        <v>0</v>
      </c>
      <c r="AB54" s="67">
        <f>0</f>
        <v>0</v>
      </c>
      <c r="AC54" s="67">
        <f>0</f>
        <v>0</v>
      </c>
      <c r="AD54" s="67">
        <f>0</f>
        <v>0</v>
      </c>
      <c r="AE54" s="67">
        <f>0</f>
        <v>0</v>
      </c>
      <c r="AF54" s="67">
        <f>0</f>
        <v>0</v>
      </c>
      <c r="AG54" s="67">
        <f>0</f>
        <v>0</v>
      </c>
      <c r="AH54" s="67">
        <f>0</f>
        <v>0</v>
      </c>
      <c r="AI54" s="67">
        <f>0</f>
        <v>0</v>
      </c>
      <c r="AJ54" s="67">
        <f>0</f>
        <v>0</v>
      </c>
      <c r="AK54" s="67">
        <f>0</f>
        <v>0</v>
      </c>
      <c r="AL54" s="68">
        <f>0</f>
        <v>0</v>
      </c>
    </row>
    <row r="55" spans="1:39" ht="15" customHeight="1" outlineLevel="3">
      <c r="A55" s="375" t="s">
        <v>31</v>
      </c>
      <c r="B55" s="150" t="s">
        <v>103</v>
      </c>
      <c r="C55" s="151"/>
      <c r="D55" s="370" t="s">
        <v>444</v>
      </c>
      <c r="E55" s="95">
        <f>+IF(E5&lt;&gt;0,(E6+E14-E17)/E5,0)</f>
        <v>-4.6592826808022118E-2</v>
      </c>
      <c r="F55" s="64">
        <f>+IF(F5&lt;&gt;0,(F6+F14-F17)/F5,0)</f>
        <v>8.657875168781512E-3</v>
      </c>
      <c r="G55" s="64">
        <f>+IF(G5&lt;&gt;0,(G6+G14-G17)/G5,0)</f>
        <v>9.0846420289276992E-3</v>
      </c>
      <c r="H55" s="65">
        <f>+IF(H5&lt;&gt;0,(H6+H14-H17)/H5,0)</f>
        <v>3.8307785355365713E-2</v>
      </c>
      <c r="I55" s="66">
        <f>+IF(I5&lt;&gt;0,(I6+I14-I17)/I5,0)</f>
        <v>6.3228424605945938E-2</v>
      </c>
      <c r="J55" s="67">
        <f t="shared" ref="J55:AL55" si="1">+IF(J5&lt;&gt;0,(J6+J14-J17)/J5,0)</f>
        <v>4.0839651909123122E-2</v>
      </c>
      <c r="K55" s="67">
        <f t="shared" si="1"/>
        <v>7.5359488636363631E-2</v>
      </c>
      <c r="L55" s="67">
        <f t="shared" si="1"/>
        <v>8.9022595359438697E-2</v>
      </c>
      <c r="M55" s="67">
        <f t="shared" si="1"/>
        <v>9.3398852646193894E-2</v>
      </c>
      <c r="N55" s="67">
        <f t="shared" si="1"/>
        <v>9.7282952358988248E-2</v>
      </c>
      <c r="O55" s="67">
        <f t="shared" si="1"/>
        <v>9.0943945754932615E-2</v>
      </c>
      <c r="P55" s="67">
        <f t="shared" si="1"/>
        <v>8.2288257788213637E-2</v>
      </c>
      <c r="Q55" s="67">
        <f t="shared" si="1"/>
        <v>0.12376570937060777</v>
      </c>
      <c r="R55" s="67">
        <f t="shared" si="1"/>
        <v>0.12748603757744695</v>
      </c>
      <c r="S55" s="67">
        <f t="shared" si="1"/>
        <v>0.13138574849795245</v>
      </c>
      <c r="T55" s="67">
        <f t="shared" si="1"/>
        <v>0.13553476495624567</v>
      </c>
      <c r="U55" s="67">
        <f t="shared" si="1"/>
        <v>0.13958017754029131</v>
      </c>
      <c r="V55" s="67">
        <f t="shared" si="1"/>
        <v>0</v>
      </c>
      <c r="W55" s="67">
        <f t="shared" si="1"/>
        <v>0</v>
      </c>
      <c r="X55" s="67">
        <f t="shared" si="1"/>
        <v>0</v>
      </c>
      <c r="Y55" s="67">
        <f t="shared" si="1"/>
        <v>0</v>
      </c>
      <c r="Z55" s="67">
        <f t="shared" si="1"/>
        <v>0</v>
      </c>
      <c r="AA55" s="67">
        <f t="shared" si="1"/>
        <v>0</v>
      </c>
      <c r="AB55" s="67">
        <f t="shared" si="1"/>
        <v>0</v>
      </c>
      <c r="AC55" s="67">
        <f t="shared" si="1"/>
        <v>0</v>
      </c>
      <c r="AD55" s="67">
        <f t="shared" si="1"/>
        <v>0</v>
      </c>
      <c r="AE55" s="67">
        <f t="shared" si="1"/>
        <v>0</v>
      </c>
      <c r="AF55" s="67">
        <f t="shared" si="1"/>
        <v>0</v>
      </c>
      <c r="AG55" s="67">
        <f t="shared" si="1"/>
        <v>0</v>
      </c>
      <c r="AH55" s="67">
        <f t="shared" si="1"/>
        <v>0</v>
      </c>
      <c r="AI55" s="67">
        <f t="shared" si="1"/>
        <v>0</v>
      </c>
      <c r="AJ55" s="67">
        <f t="shared" si="1"/>
        <v>0</v>
      </c>
      <c r="AK55" s="67">
        <f t="shared" si="1"/>
        <v>0</v>
      </c>
      <c r="AL55" s="68">
        <f t="shared" si="1"/>
        <v>0</v>
      </c>
      <c r="AM55" s="85"/>
    </row>
    <row r="56" spans="1:39" ht="38.25" customHeight="1" outlineLevel="2">
      <c r="A56" s="375" t="s">
        <v>31</v>
      </c>
      <c r="B56" s="48" t="s">
        <v>187</v>
      </c>
      <c r="C56" s="354"/>
      <c r="D56" s="355" t="s">
        <v>458</v>
      </c>
      <c r="E56" s="96" t="s">
        <v>31</v>
      </c>
      <c r="F56" s="69" t="s">
        <v>31</v>
      </c>
      <c r="G56" s="69" t="s">
        <v>31</v>
      </c>
      <c r="H56" s="70" t="s">
        <v>31</v>
      </c>
      <c r="I56" s="66">
        <f>-0.0096</f>
        <v>-9.5999999999999992E-3</v>
      </c>
      <c r="J56" s="67">
        <f>0.027</f>
        <v>2.7E-2</v>
      </c>
      <c r="K56" s="67">
        <f>0.0377</f>
        <v>3.7699999999999997E-2</v>
      </c>
      <c r="L56" s="67">
        <f>0.0598</f>
        <v>5.9799999999999999E-2</v>
      </c>
      <c r="M56" s="67">
        <f>0.0684</f>
        <v>6.8400000000000002E-2</v>
      </c>
      <c r="N56" s="67">
        <f>0.0859</f>
        <v>8.5900000000000004E-2</v>
      </c>
      <c r="O56" s="67">
        <f>0.0932</f>
        <v>9.3200000000000005E-2</v>
      </c>
      <c r="P56" s="67">
        <f>0.0939</f>
        <v>9.3899999999999997E-2</v>
      </c>
      <c r="Q56" s="67">
        <f>0.0902</f>
        <v>9.0200000000000002E-2</v>
      </c>
      <c r="R56" s="67">
        <f>0.099</f>
        <v>9.9000000000000005E-2</v>
      </c>
      <c r="S56" s="67">
        <f>0.1112</f>
        <v>0.11119999999999999</v>
      </c>
      <c r="T56" s="67">
        <f>0.1276</f>
        <v>0.12759999999999999</v>
      </c>
      <c r="U56" s="67">
        <f>0.1315</f>
        <v>0.13150000000000001</v>
      </c>
      <c r="V56" s="67">
        <f>0</f>
        <v>0</v>
      </c>
      <c r="W56" s="67">
        <f>0</f>
        <v>0</v>
      </c>
      <c r="X56" s="67">
        <f>0</f>
        <v>0</v>
      </c>
      <c r="Y56" s="67">
        <f>0</f>
        <v>0</v>
      </c>
      <c r="Z56" s="67">
        <f>0</f>
        <v>0</v>
      </c>
      <c r="AA56" s="67">
        <f>0</f>
        <v>0</v>
      </c>
      <c r="AB56" s="67">
        <f>0</f>
        <v>0</v>
      </c>
      <c r="AC56" s="67">
        <f>0</f>
        <v>0</v>
      </c>
      <c r="AD56" s="67">
        <f>0</f>
        <v>0</v>
      </c>
      <c r="AE56" s="67">
        <f>0</f>
        <v>0</v>
      </c>
      <c r="AF56" s="67">
        <f>0</f>
        <v>0</v>
      </c>
      <c r="AG56" s="67">
        <f>0</f>
        <v>0</v>
      </c>
      <c r="AH56" s="67">
        <f>0</f>
        <v>0</v>
      </c>
      <c r="AI56" s="67">
        <f>0</f>
        <v>0</v>
      </c>
      <c r="AJ56" s="67">
        <f>0</f>
        <v>0</v>
      </c>
      <c r="AK56" s="67">
        <f>0</f>
        <v>0</v>
      </c>
      <c r="AL56" s="68">
        <f>0</f>
        <v>0</v>
      </c>
      <c r="AM56" s="85"/>
    </row>
    <row r="57" spans="1:39" ht="38.25" customHeight="1" outlineLevel="2">
      <c r="A57" s="375" t="s">
        <v>31</v>
      </c>
      <c r="B57" s="48" t="s">
        <v>106</v>
      </c>
      <c r="C57" s="354"/>
      <c r="D57" s="356" t="s">
        <v>459</v>
      </c>
      <c r="E57" s="96" t="s">
        <v>31</v>
      </c>
      <c r="F57" s="69" t="s">
        <v>31</v>
      </c>
      <c r="G57" s="69" t="s">
        <v>31</v>
      </c>
      <c r="H57" s="70" t="s">
        <v>31</v>
      </c>
      <c r="I57" s="66">
        <f>0.0001</f>
        <v>1E-4</v>
      </c>
      <c r="J57" s="67">
        <f>0.0367</f>
        <v>3.6700000000000003E-2</v>
      </c>
      <c r="K57" s="67">
        <f>0.0474</f>
        <v>4.7399999999999998E-2</v>
      </c>
      <c r="L57" s="67">
        <f>0.0598</f>
        <v>5.9799999999999999E-2</v>
      </c>
      <c r="M57" s="67">
        <f>0.0684</f>
        <v>6.8400000000000002E-2</v>
      </c>
      <c r="N57" s="67">
        <f>0.0859</f>
        <v>8.5900000000000004E-2</v>
      </c>
      <c r="O57" s="67">
        <f>0.0932</f>
        <v>9.3200000000000005E-2</v>
      </c>
      <c r="P57" s="67">
        <f>0.0939</f>
        <v>9.3899999999999997E-2</v>
      </c>
      <c r="Q57" s="67">
        <f>0.0902</f>
        <v>9.0200000000000002E-2</v>
      </c>
      <c r="R57" s="67">
        <f>0.099</f>
        <v>9.9000000000000005E-2</v>
      </c>
      <c r="S57" s="67">
        <f>0.1112</f>
        <v>0.11119999999999999</v>
      </c>
      <c r="T57" s="67">
        <f>0.1276</f>
        <v>0.12759999999999999</v>
      </c>
      <c r="U57" s="67">
        <f>0.1315</f>
        <v>0.13150000000000001</v>
      </c>
      <c r="V57" s="67">
        <f>0</f>
        <v>0</v>
      </c>
      <c r="W57" s="67">
        <f>0</f>
        <v>0</v>
      </c>
      <c r="X57" s="67">
        <f>0</f>
        <v>0</v>
      </c>
      <c r="Y57" s="67">
        <f>0</f>
        <v>0</v>
      </c>
      <c r="Z57" s="67">
        <f>0</f>
        <v>0</v>
      </c>
      <c r="AA57" s="67">
        <f>0</f>
        <v>0</v>
      </c>
      <c r="AB57" s="67">
        <f>0</f>
        <v>0</v>
      </c>
      <c r="AC57" s="67">
        <f>0</f>
        <v>0</v>
      </c>
      <c r="AD57" s="67">
        <f>0</f>
        <v>0</v>
      </c>
      <c r="AE57" s="67">
        <f>0</f>
        <v>0</v>
      </c>
      <c r="AF57" s="67">
        <f>0</f>
        <v>0</v>
      </c>
      <c r="AG57" s="67">
        <f>0</f>
        <v>0</v>
      </c>
      <c r="AH57" s="67">
        <f>0</f>
        <v>0</v>
      </c>
      <c r="AI57" s="67">
        <f>0</f>
        <v>0</v>
      </c>
      <c r="AJ57" s="67">
        <f>0</f>
        <v>0</v>
      </c>
      <c r="AK57" s="67">
        <f>0</f>
        <v>0</v>
      </c>
      <c r="AL57" s="68">
        <f>0</f>
        <v>0</v>
      </c>
    </row>
    <row r="58" spans="1:39" ht="49.5" customHeight="1" outlineLevel="2">
      <c r="A58" s="375" t="s">
        <v>31</v>
      </c>
      <c r="B58" s="48" t="s">
        <v>188</v>
      </c>
      <c r="C58" s="354"/>
      <c r="D58" s="355" t="s">
        <v>241</v>
      </c>
      <c r="E58" s="96" t="s">
        <v>31</v>
      </c>
      <c r="F58" s="69" t="s">
        <v>31</v>
      </c>
      <c r="G58" s="69" t="s">
        <v>31</v>
      </c>
      <c r="H58" s="70" t="s">
        <v>31</v>
      </c>
      <c r="I58" s="299" t="str">
        <f>IF(I54&lt;=I56,"Spełniona","Nie spełniona")</f>
        <v>Nie spełniona</v>
      </c>
      <c r="J58" s="300" t="str">
        <f t="shared" ref="J58:AL58" si="2">IF(J54&lt;=J56,"Spełniona","Nie spełniona")</f>
        <v>Nie spełniona</v>
      </c>
      <c r="K58" s="300" t="str">
        <f t="shared" si="2"/>
        <v>Nie spełniona</v>
      </c>
      <c r="L58" s="300" t="str">
        <f t="shared" si="2"/>
        <v>Spełniona</v>
      </c>
      <c r="M58" s="300" t="str">
        <f t="shared" si="2"/>
        <v>Spełniona</v>
      </c>
      <c r="N58" s="300" t="str">
        <f t="shared" si="2"/>
        <v>Spełniona</v>
      </c>
      <c r="O58" s="300" t="str">
        <f t="shared" si="2"/>
        <v>Spełniona</v>
      </c>
      <c r="P58" s="300" t="str">
        <f t="shared" si="2"/>
        <v>Spełniona</v>
      </c>
      <c r="Q58" s="300" t="str">
        <f t="shared" si="2"/>
        <v>Spełniona</v>
      </c>
      <c r="R58" s="300" t="str">
        <f t="shared" si="2"/>
        <v>Spełniona</v>
      </c>
      <c r="S58" s="300" t="str">
        <f t="shared" si="2"/>
        <v>Spełniona</v>
      </c>
      <c r="T58" s="300" t="str">
        <f t="shared" si="2"/>
        <v>Spełniona</v>
      </c>
      <c r="U58" s="300" t="str">
        <f t="shared" si="2"/>
        <v>Spełniona</v>
      </c>
      <c r="V58" s="300" t="str">
        <f t="shared" si="2"/>
        <v>Spełniona</v>
      </c>
      <c r="W58" s="300" t="str">
        <f t="shared" si="2"/>
        <v>Spełniona</v>
      </c>
      <c r="X58" s="300" t="str">
        <f t="shared" si="2"/>
        <v>Spełniona</v>
      </c>
      <c r="Y58" s="300" t="str">
        <f t="shared" si="2"/>
        <v>Spełniona</v>
      </c>
      <c r="Z58" s="300" t="str">
        <f t="shared" si="2"/>
        <v>Spełniona</v>
      </c>
      <c r="AA58" s="300" t="str">
        <f t="shared" si="2"/>
        <v>Spełniona</v>
      </c>
      <c r="AB58" s="300" t="str">
        <f t="shared" si="2"/>
        <v>Spełniona</v>
      </c>
      <c r="AC58" s="300" t="str">
        <f t="shared" si="2"/>
        <v>Spełniona</v>
      </c>
      <c r="AD58" s="300" t="str">
        <f t="shared" si="2"/>
        <v>Spełniona</v>
      </c>
      <c r="AE58" s="300" t="str">
        <f t="shared" si="2"/>
        <v>Spełniona</v>
      </c>
      <c r="AF58" s="300" t="str">
        <f t="shared" si="2"/>
        <v>Spełniona</v>
      </c>
      <c r="AG58" s="300" t="str">
        <f t="shared" si="2"/>
        <v>Spełniona</v>
      </c>
      <c r="AH58" s="300" t="str">
        <f t="shared" si="2"/>
        <v>Spełniona</v>
      </c>
      <c r="AI58" s="300" t="str">
        <f t="shared" si="2"/>
        <v>Spełniona</v>
      </c>
      <c r="AJ58" s="300" t="str">
        <f t="shared" si="2"/>
        <v>Spełniona</v>
      </c>
      <c r="AK58" s="300" t="str">
        <f t="shared" si="2"/>
        <v>Spełniona</v>
      </c>
      <c r="AL58" s="301" t="str">
        <f t="shared" si="2"/>
        <v>Spełniona</v>
      </c>
    </row>
    <row r="59" spans="1:39" ht="49.5" customHeight="1" outlineLevel="2">
      <c r="A59" s="375" t="s">
        <v>31</v>
      </c>
      <c r="B59" s="48" t="s">
        <v>109</v>
      </c>
      <c r="C59" s="354"/>
      <c r="D59" s="356" t="s">
        <v>240</v>
      </c>
      <c r="E59" s="96" t="s">
        <v>31</v>
      </c>
      <c r="F59" s="69" t="s">
        <v>31</v>
      </c>
      <c r="G59" s="69" t="s">
        <v>31</v>
      </c>
      <c r="H59" s="70" t="s">
        <v>31</v>
      </c>
      <c r="I59" s="299" t="str">
        <f>IF(I54&lt;=I57,"Spełniona","Nie spełniona")</f>
        <v>Nie spełniona</v>
      </c>
      <c r="J59" s="300" t="str">
        <f t="shared" ref="J59:AL59" si="3">IF(J54&lt;=J57,"Spełniona","Nie spełniona")</f>
        <v>Spełniona</v>
      </c>
      <c r="K59" s="300" t="str">
        <f t="shared" si="3"/>
        <v>Spełniona</v>
      </c>
      <c r="L59" s="300" t="str">
        <f t="shared" si="3"/>
        <v>Spełniona</v>
      </c>
      <c r="M59" s="300" t="str">
        <f t="shared" si="3"/>
        <v>Spełniona</v>
      </c>
      <c r="N59" s="300" t="str">
        <f t="shared" si="3"/>
        <v>Spełniona</v>
      </c>
      <c r="O59" s="300" t="str">
        <f t="shared" si="3"/>
        <v>Spełniona</v>
      </c>
      <c r="P59" s="300" t="str">
        <f t="shared" si="3"/>
        <v>Spełniona</v>
      </c>
      <c r="Q59" s="300" t="str">
        <f t="shared" si="3"/>
        <v>Spełniona</v>
      </c>
      <c r="R59" s="300" t="str">
        <f t="shared" si="3"/>
        <v>Spełniona</v>
      </c>
      <c r="S59" s="300" t="str">
        <f t="shared" si="3"/>
        <v>Spełniona</v>
      </c>
      <c r="T59" s="300" t="str">
        <f t="shared" si="3"/>
        <v>Spełniona</v>
      </c>
      <c r="U59" s="300" t="str">
        <f t="shared" si="3"/>
        <v>Spełniona</v>
      </c>
      <c r="V59" s="300" t="str">
        <f t="shared" si="3"/>
        <v>Spełniona</v>
      </c>
      <c r="W59" s="300" t="str">
        <f t="shared" si="3"/>
        <v>Spełniona</v>
      </c>
      <c r="X59" s="300" t="str">
        <f t="shared" si="3"/>
        <v>Spełniona</v>
      </c>
      <c r="Y59" s="300" t="str">
        <f t="shared" si="3"/>
        <v>Spełniona</v>
      </c>
      <c r="Z59" s="300" t="str">
        <f t="shared" si="3"/>
        <v>Spełniona</v>
      </c>
      <c r="AA59" s="300" t="str">
        <f t="shared" si="3"/>
        <v>Spełniona</v>
      </c>
      <c r="AB59" s="300" t="str">
        <f t="shared" si="3"/>
        <v>Spełniona</v>
      </c>
      <c r="AC59" s="300" t="str">
        <f t="shared" si="3"/>
        <v>Spełniona</v>
      </c>
      <c r="AD59" s="300" t="str">
        <f t="shared" si="3"/>
        <v>Spełniona</v>
      </c>
      <c r="AE59" s="300" t="str">
        <f t="shared" si="3"/>
        <v>Spełniona</v>
      </c>
      <c r="AF59" s="300" t="str">
        <f t="shared" si="3"/>
        <v>Spełniona</v>
      </c>
      <c r="AG59" s="300" t="str">
        <f t="shared" si="3"/>
        <v>Spełniona</v>
      </c>
      <c r="AH59" s="300" t="str">
        <f t="shared" si="3"/>
        <v>Spełniona</v>
      </c>
      <c r="AI59" s="300" t="str">
        <f t="shared" si="3"/>
        <v>Spełniona</v>
      </c>
      <c r="AJ59" s="300" t="str">
        <f t="shared" si="3"/>
        <v>Spełniona</v>
      </c>
      <c r="AK59" s="300" t="str">
        <f t="shared" si="3"/>
        <v>Spełniona</v>
      </c>
      <c r="AL59" s="301" t="str">
        <f t="shared" si="3"/>
        <v>Spełniona</v>
      </c>
    </row>
    <row r="60" spans="1:39" ht="15" customHeight="1" outlineLevel="1">
      <c r="B60" s="47">
        <v>10</v>
      </c>
      <c r="C60" s="376"/>
      <c r="D60" s="353" t="s">
        <v>242</v>
      </c>
      <c r="E60" s="92">
        <f>0</f>
        <v>0</v>
      </c>
      <c r="F60" s="50">
        <f>0</f>
        <v>0</v>
      </c>
      <c r="G60" s="50">
        <f>0</f>
        <v>0</v>
      </c>
      <c r="H60" s="51">
        <f>0</f>
        <v>0</v>
      </c>
      <c r="I60" s="52">
        <f>0</f>
        <v>0</v>
      </c>
      <c r="J60" s="53">
        <f>1057000</f>
        <v>1057000</v>
      </c>
      <c r="K60" s="53">
        <f>100000</f>
        <v>100000</v>
      </c>
      <c r="L60" s="53">
        <f>400000</f>
        <v>400000</v>
      </c>
      <c r="M60" s="53">
        <f>600000</f>
        <v>600000</v>
      </c>
      <c r="N60" s="53">
        <f>600000</f>
        <v>600000</v>
      </c>
      <c r="O60" s="53">
        <f>1200000</f>
        <v>1200000</v>
      </c>
      <c r="P60" s="53">
        <f>1300000</f>
        <v>1300000</v>
      </c>
      <c r="Q60" s="53">
        <f>1200000</f>
        <v>1200000</v>
      </c>
      <c r="R60" s="53">
        <f>1330000</f>
        <v>1330000</v>
      </c>
      <c r="S60" s="53">
        <f>1510000</f>
        <v>1510000</v>
      </c>
      <c r="T60" s="53">
        <f>1548000</f>
        <v>1548000</v>
      </c>
      <c r="U60" s="53">
        <f>743000</f>
        <v>743000</v>
      </c>
      <c r="V60" s="53">
        <f>0</f>
        <v>0</v>
      </c>
      <c r="W60" s="53">
        <f>0</f>
        <v>0</v>
      </c>
      <c r="X60" s="53">
        <f>0</f>
        <v>0</v>
      </c>
      <c r="Y60" s="53">
        <f>0</f>
        <v>0</v>
      </c>
      <c r="Z60" s="53">
        <f>0</f>
        <v>0</v>
      </c>
      <c r="AA60" s="53">
        <f>0</f>
        <v>0</v>
      </c>
      <c r="AB60" s="53">
        <f>0</f>
        <v>0</v>
      </c>
      <c r="AC60" s="53">
        <f>0</f>
        <v>0</v>
      </c>
      <c r="AD60" s="53">
        <f>0</f>
        <v>0</v>
      </c>
      <c r="AE60" s="53">
        <f>0</f>
        <v>0</v>
      </c>
      <c r="AF60" s="53">
        <f>0</f>
        <v>0</v>
      </c>
      <c r="AG60" s="53">
        <f>0</f>
        <v>0</v>
      </c>
      <c r="AH60" s="53">
        <f>0</f>
        <v>0</v>
      </c>
      <c r="AI60" s="53">
        <f>0</f>
        <v>0</v>
      </c>
      <c r="AJ60" s="53">
        <f>0</f>
        <v>0</v>
      </c>
      <c r="AK60" s="53">
        <f>0</f>
        <v>0</v>
      </c>
      <c r="AL60" s="54">
        <f>0</f>
        <v>0</v>
      </c>
      <c r="AM60" s="43"/>
    </row>
    <row r="61" spans="1:39" ht="15" customHeight="1" outlineLevel="2">
      <c r="B61" s="48" t="s">
        <v>189</v>
      </c>
      <c r="C61" s="354"/>
      <c r="D61" s="355" t="s">
        <v>243</v>
      </c>
      <c r="E61" s="93">
        <f>0</f>
        <v>0</v>
      </c>
      <c r="F61" s="55">
        <f>0</f>
        <v>0</v>
      </c>
      <c r="G61" s="55">
        <f>0</f>
        <v>0</v>
      </c>
      <c r="H61" s="56">
        <f>0</f>
        <v>0</v>
      </c>
      <c r="I61" s="57">
        <f>0</f>
        <v>0</v>
      </c>
      <c r="J61" s="58">
        <f>1057000</f>
        <v>1057000</v>
      </c>
      <c r="K61" s="58">
        <f>100000</f>
        <v>100000</v>
      </c>
      <c r="L61" s="58">
        <f>400000</f>
        <v>400000</v>
      </c>
      <c r="M61" s="58">
        <f>600000</f>
        <v>600000</v>
      </c>
      <c r="N61" s="58">
        <f>600000</f>
        <v>600000</v>
      </c>
      <c r="O61" s="58">
        <f>1200000</f>
        <v>1200000</v>
      </c>
      <c r="P61" s="58">
        <f>1300000</f>
        <v>1300000</v>
      </c>
      <c r="Q61" s="58">
        <f>1200000</f>
        <v>1200000</v>
      </c>
      <c r="R61" s="58">
        <f>1330000</f>
        <v>1330000</v>
      </c>
      <c r="S61" s="58">
        <f>1510000</f>
        <v>1510000</v>
      </c>
      <c r="T61" s="58">
        <f>1548000</f>
        <v>1548000</v>
      </c>
      <c r="U61" s="58">
        <f>465000</f>
        <v>465000</v>
      </c>
      <c r="V61" s="58">
        <f>0</f>
        <v>0</v>
      </c>
      <c r="W61" s="58">
        <f>0</f>
        <v>0</v>
      </c>
      <c r="X61" s="58">
        <f>0</f>
        <v>0</v>
      </c>
      <c r="Y61" s="58">
        <f>0</f>
        <v>0</v>
      </c>
      <c r="Z61" s="58">
        <f>0</f>
        <v>0</v>
      </c>
      <c r="AA61" s="58">
        <f>0</f>
        <v>0</v>
      </c>
      <c r="AB61" s="58">
        <f>0</f>
        <v>0</v>
      </c>
      <c r="AC61" s="58">
        <f>0</f>
        <v>0</v>
      </c>
      <c r="AD61" s="58">
        <f>0</f>
        <v>0</v>
      </c>
      <c r="AE61" s="58">
        <f>0</f>
        <v>0</v>
      </c>
      <c r="AF61" s="58">
        <f>0</f>
        <v>0</v>
      </c>
      <c r="AG61" s="58">
        <f>0</f>
        <v>0</v>
      </c>
      <c r="AH61" s="58">
        <f>0</f>
        <v>0</v>
      </c>
      <c r="AI61" s="58">
        <f>0</f>
        <v>0</v>
      </c>
      <c r="AJ61" s="58">
        <f>0</f>
        <v>0</v>
      </c>
      <c r="AK61" s="58">
        <f>0</f>
        <v>0</v>
      </c>
      <c r="AL61" s="59">
        <f>0</f>
        <v>0</v>
      </c>
    </row>
    <row r="62" spans="1:39" ht="15" customHeight="1" outlineLevel="1">
      <c r="B62" s="47">
        <v>11</v>
      </c>
      <c r="C62" s="376"/>
      <c r="D62" s="353" t="s">
        <v>113</v>
      </c>
      <c r="E62" s="96" t="s">
        <v>31</v>
      </c>
      <c r="F62" s="69" t="s">
        <v>31</v>
      </c>
      <c r="G62" s="69" t="s">
        <v>31</v>
      </c>
      <c r="H62" s="70" t="s">
        <v>31</v>
      </c>
      <c r="I62" s="71" t="s">
        <v>31</v>
      </c>
      <c r="J62" s="72" t="s">
        <v>31</v>
      </c>
      <c r="K62" s="72" t="s">
        <v>31</v>
      </c>
      <c r="L62" s="72" t="s">
        <v>31</v>
      </c>
      <c r="M62" s="72" t="s">
        <v>31</v>
      </c>
      <c r="N62" s="72" t="s">
        <v>31</v>
      </c>
      <c r="O62" s="72" t="s">
        <v>31</v>
      </c>
      <c r="P62" s="72" t="s">
        <v>31</v>
      </c>
      <c r="Q62" s="72" t="s">
        <v>31</v>
      </c>
      <c r="R62" s="72" t="s">
        <v>31</v>
      </c>
      <c r="S62" s="72" t="s">
        <v>31</v>
      </c>
      <c r="T62" s="72" t="s">
        <v>31</v>
      </c>
      <c r="U62" s="72" t="s">
        <v>31</v>
      </c>
      <c r="V62" s="72" t="s">
        <v>31</v>
      </c>
      <c r="W62" s="72" t="s">
        <v>31</v>
      </c>
      <c r="X62" s="72" t="s">
        <v>31</v>
      </c>
      <c r="Y62" s="72" t="s">
        <v>31</v>
      </c>
      <c r="Z62" s="72" t="s">
        <v>31</v>
      </c>
      <c r="AA62" s="72" t="s">
        <v>31</v>
      </c>
      <c r="AB62" s="72" t="s">
        <v>31</v>
      </c>
      <c r="AC62" s="72" t="s">
        <v>31</v>
      </c>
      <c r="AD62" s="72" t="s">
        <v>31</v>
      </c>
      <c r="AE62" s="72" t="s">
        <v>31</v>
      </c>
      <c r="AF62" s="72" t="s">
        <v>31</v>
      </c>
      <c r="AG62" s="72" t="s">
        <v>31</v>
      </c>
      <c r="AH62" s="72" t="s">
        <v>31</v>
      </c>
      <c r="AI62" s="72" t="s">
        <v>31</v>
      </c>
      <c r="AJ62" s="72" t="s">
        <v>31</v>
      </c>
      <c r="AK62" s="72" t="s">
        <v>31</v>
      </c>
      <c r="AL62" s="73" t="s">
        <v>31</v>
      </c>
      <c r="AM62" s="43"/>
    </row>
    <row r="63" spans="1:39" ht="15" customHeight="1" outlineLevel="2">
      <c r="B63" s="48" t="s">
        <v>190</v>
      </c>
      <c r="C63" s="354"/>
      <c r="D63" s="355" t="s">
        <v>244</v>
      </c>
      <c r="E63" s="93">
        <f>0</f>
        <v>0</v>
      </c>
      <c r="F63" s="55">
        <f>5923327</f>
        <v>5923327</v>
      </c>
      <c r="G63" s="55">
        <f>6553390.09</f>
        <v>6553390.0899999999</v>
      </c>
      <c r="H63" s="56">
        <f>6453390.09</f>
        <v>6453390.0899999999</v>
      </c>
      <c r="I63" s="57">
        <f>6782288.06</f>
        <v>6782288.0599999996</v>
      </c>
      <c r="J63" s="58">
        <f>6758808</f>
        <v>6758808</v>
      </c>
      <c r="K63" s="58">
        <f>6961573</f>
        <v>6961573</v>
      </c>
      <c r="L63" s="58">
        <f>7170420</f>
        <v>7170420</v>
      </c>
      <c r="M63" s="58">
        <f>7385532</f>
        <v>7385532</v>
      </c>
      <c r="N63" s="58">
        <f>7607098</f>
        <v>7607098</v>
      </c>
      <c r="O63" s="58">
        <f>7835311</f>
        <v>7835311</v>
      </c>
      <c r="P63" s="58">
        <f>8070371</f>
        <v>8070371</v>
      </c>
      <c r="Q63" s="58">
        <f>8312482</f>
        <v>8312482</v>
      </c>
      <c r="R63" s="58">
        <f>8561856</f>
        <v>8561856</v>
      </c>
      <c r="S63" s="58">
        <f>8818712</f>
        <v>8818712</v>
      </c>
      <c r="T63" s="58">
        <f>9083273</f>
        <v>9083273</v>
      </c>
      <c r="U63" s="58">
        <f>9355771</f>
        <v>9355771</v>
      </c>
      <c r="V63" s="58">
        <f>0</f>
        <v>0</v>
      </c>
      <c r="W63" s="58">
        <f>0</f>
        <v>0</v>
      </c>
      <c r="X63" s="58">
        <f>0</f>
        <v>0</v>
      </c>
      <c r="Y63" s="58">
        <f>0</f>
        <v>0</v>
      </c>
      <c r="Z63" s="58">
        <f>0</f>
        <v>0</v>
      </c>
      <c r="AA63" s="58">
        <f>0</f>
        <v>0</v>
      </c>
      <c r="AB63" s="58">
        <f>0</f>
        <v>0</v>
      </c>
      <c r="AC63" s="58">
        <f>0</f>
        <v>0</v>
      </c>
      <c r="AD63" s="58">
        <f>0</f>
        <v>0</v>
      </c>
      <c r="AE63" s="58">
        <f>0</f>
        <v>0</v>
      </c>
      <c r="AF63" s="58">
        <f>0</f>
        <v>0</v>
      </c>
      <c r="AG63" s="58">
        <f>0</f>
        <v>0</v>
      </c>
      <c r="AH63" s="58">
        <f>0</f>
        <v>0</v>
      </c>
      <c r="AI63" s="58">
        <f>0</f>
        <v>0</v>
      </c>
      <c r="AJ63" s="58">
        <f>0</f>
        <v>0</v>
      </c>
      <c r="AK63" s="58">
        <f>0</f>
        <v>0</v>
      </c>
      <c r="AL63" s="59">
        <f>0</f>
        <v>0</v>
      </c>
    </row>
    <row r="64" spans="1:39" ht="15" customHeight="1" outlineLevel="2">
      <c r="B64" s="48" t="s">
        <v>191</v>
      </c>
      <c r="C64" s="354"/>
      <c r="D64" s="355" t="s">
        <v>245</v>
      </c>
      <c r="E64" s="93">
        <f>2273739.15</f>
        <v>2273739.15</v>
      </c>
      <c r="F64" s="55">
        <f>2353079.52</f>
        <v>2353079.52</v>
      </c>
      <c r="G64" s="55">
        <f>0</f>
        <v>0</v>
      </c>
      <c r="H64" s="56">
        <f>2586844.97</f>
        <v>2586844.9700000002</v>
      </c>
      <c r="I64" s="57">
        <f>3184091</f>
        <v>3184091</v>
      </c>
      <c r="J64" s="58">
        <f>3200000</f>
        <v>3200000</v>
      </c>
      <c r="K64" s="58">
        <f>3250000</f>
        <v>3250000</v>
      </c>
      <c r="L64" s="58">
        <f>3300000</f>
        <v>3300000</v>
      </c>
      <c r="M64" s="58">
        <f>3400000</f>
        <v>3400000</v>
      </c>
      <c r="N64" s="58">
        <f>3500000</f>
        <v>3500000</v>
      </c>
      <c r="O64" s="58">
        <f>3600000</f>
        <v>3600000</v>
      </c>
      <c r="P64" s="58">
        <f>3700000</f>
        <v>3700000</v>
      </c>
      <c r="Q64" s="58">
        <f>3800000</f>
        <v>3800000</v>
      </c>
      <c r="R64" s="58">
        <f>3900000</f>
        <v>3900000</v>
      </c>
      <c r="S64" s="58">
        <f>4000000</f>
        <v>4000000</v>
      </c>
      <c r="T64" s="58">
        <f>4100000</f>
        <v>4100000</v>
      </c>
      <c r="U64" s="58">
        <f>4200000</f>
        <v>4200000</v>
      </c>
      <c r="V64" s="58">
        <f>0</f>
        <v>0</v>
      </c>
      <c r="W64" s="58">
        <f>0</f>
        <v>0</v>
      </c>
      <c r="X64" s="58">
        <f>0</f>
        <v>0</v>
      </c>
      <c r="Y64" s="58">
        <f>0</f>
        <v>0</v>
      </c>
      <c r="Z64" s="58">
        <f>0</f>
        <v>0</v>
      </c>
      <c r="AA64" s="58">
        <f>0</f>
        <v>0</v>
      </c>
      <c r="AB64" s="58">
        <f>0</f>
        <v>0</v>
      </c>
      <c r="AC64" s="58">
        <f>0</f>
        <v>0</v>
      </c>
      <c r="AD64" s="58">
        <f>0</f>
        <v>0</v>
      </c>
      <c r="AE64" s="58">
        <f>0</f>
        <v>0</v>
      </c>
      <c r="AF64" s="58">
        <f>0</f>
        <v>0</v>
      </c>
      <c r="AG64" s="58">
        <f>0</f>
        <v>0</v>
      </c>
      <c r="AH64" s="58">
        <f>0</f>
        <v>0</v>
      </c>
      <c r="AI64" s="58">
        <f>0</f>
        <v>0</v>
      </c>
      <c r="AJ64" s="58">
        <f>0</f>
        <v>0</v>
      </c>
      <c r="AK64" s="58">
        <f>0</f>
        <v>0</v>
      </c>
      <c r="AL64" s="59">
        <f>0</f>
        <v>0</v>
      </c>
    </row>
    <row r="65" spans="2:39" ht="15" customHeight="1" outlineLevel="2">
      <c r="B65" s="48" t="s">
        <v>192</v>
      </c>
      <c r="C65" s="354"/>
      <c r="D65" s="355" t="s">
        <v>248</v>
      </c>
      <c r="E65" s="93">
        <f>0</f>
        <v>0</v>
      </c>
      <c r="F65" s="55">
        <f>8891064.88</f>
        <v>8891064.8800000008</v>
      </c>
      <c r="G65" s="55">
        <f>3394607</f>
        <v>3394607</v>
      </c>
      <c r="H65" s="56">
        <f>0</f>
        <v>0</v>
      </c>
      <c r="I65" s="57">
        <f>3145713</f>
        <v>3145713</v>
      </c>
      <c r="J65" s="58">
        <f>1960042</f>
        <v>1960042</v>
      </c>
      <c r="K65" s="58">
        <f>10456</f>
        <v>10456</v>
      </c>
      <c r="L65" s="58">
        <f>0</f>
        <v>0</v>
      </c>
      <c r="M65" s="58">
        <f>0</f>
        <v>0</v>
      </c>
      <c r="N65" s="58">
        <f>0</f>
        <v>0</v>
      </c>
      <c r="O65" s="58">
        <f>0</f>
        <v>0</v>
      </c>
      <c r="P65" s="58">
        <f>0</f>
        <v>0</v>
      </c>
      <c r="Q65" s="58">
        <f>0</f>
        <v>0</v>
      </c>
      <c r="R65" s="58">
        <f>0</f>
        <v>0</v>
      </c>
      <c r="S65" s="58">
        <f>0</f>
        <v>0</v>
      </c>
      <c r="T65" s="58">
        <f>0</f>
        <v>0</v>
      </c>
      <c r="U65" s="58">
        <f>0</f>
        <v>0</v>
      </c>
      <c r="V65" s="58">
        <f>0</f>
        <v>0</v>
      </c>
      <c r="W65" s="58">
        <f>0</f>
        <v>0</v>
      </c>
      <c r="X65" s="58">
        <f>0</f>
        <v>0</v>
      </c>
      <c r="Y65" s="58">
        <f>0</f>
        <v>0</v>
      </c>
      <c r="Z65" s="58">
        <f>0</f>
        <v>0</v>
      </c>
      <c r="AA65" s="58">
        <f>0</f>
        <v>0</v>
      </c>
      <c r="AB65" s="58">
        <f>0</f>
        <v>0</v>
      </c>
      <c r="AC65" s="58">
        <f>0</f>
        <v>0</v>
      </c>
      <c r="AD65" s="58">
        <f>0</f>
        <v>0</v>
      </c>
      <c r="AE65" s="58">
        <f>0</f>
        <v>0</v>
      </c>
      <c r="AF65" s="58">
        <f>0</f>
        <v>0</v>
      </c>
      <c r="AG65" s="58">
        <f>0</f>
        <v>0</v>
      </c>
      <c r="AH65" s="58">
        <f>0</f>
        <v>0</v>
      </c>
      <c r="AI65" s="58">
        <f>0</f>
        <v>0</v>
      </c>
      <c r="AJ65" s="58">
        <f>0</f>
        <v>0</v>
      </c>
      <c r="AK65" s="58">
        <f>0</f>
        <v>0</v>
      </c>
      <c r="AL65" s="59">
        <f>0</f>
        <v>0</v>
      </c>
    </row>
    <row r="66" spans="2:39" ht="15" customHeight="1" outlineLevel="3">
      <c r="B66" s="48" t="s">
        <v>117</v>
      </c>
      <c r="C66" s="354"/>
      <c r="D66" s="356" t="s">
        <v>246</v>
      </c>
      <c r="E66" s="93">
        <f>0</f>
        <v>0</v>
      </c>
      <c r="F66" s="55">
        <f>765372.88</f>
        <v>765372.88</v>
      </c>
      <c r="G66" s="55">
        <f>899105</f>
        <v>899105</v>
      </c>
      <c r="H66" s="56">
        <f>0</f>
        <v>0</v>
      </c>
      <c r="I66" s="57">
        <f>220152</f>
        <v>220152</v>
      </c>
      <c r="J66" s="58">
        <f>26738</f>
        <v>26738</v>
      </c>
      <c r="K66" s="58">
        <f>0</f>
        <v>0</v>
      </c>
      <c r="L66" s="58">
        <f>0</f>
        <v>0</v>
      </c>
      <c r="M66" s="58">
        <f>0</f>
        <v>0</v>
      </c>
      <c r="N66" s="58">
        <f>0</f>
        <v>0</v>
      </c>
      <c r="O66" s="58">
        <f>0</f>
        <v>0</v>
      </c>
      <c r="P66" s="58">
        <f>0</f>
        <v>0</v>
      </c>
      <c r="Q66" s="58">
        <f>0</f>
        <v>0</v>
      </c>
      <c r="R66" s="58">
        <f>0</f>
        <v>0</v>
      </c>
      <c r="S66" s="58">
        <f>0</f>
        <v>0</v>
      </c>
      <c r="T66" s="58">
        <f>0</f>
        <v>0</v>
      </c>
      <c r="U66" s="58">
        <f>0</f>
        <v>0</v>
      </c>
      <c r="V66" s="58">
        <f>0</f>
        <v>0</v>
      </c>
      <c r="W66" s="58">
        <f>0</f>
        <v>0</v>
      </c>
      <c r="X66" s="58">
        <f>0</f>
        <v>0</v>
      </c>
      <c r="Y66" s="58">
        <f>0</f>
        <v>0</v>
      </c>
      <c r="Z66" s="58">
        <f>0</f>
        <v>0</v>
      </c>
      <c r="AA66" s="58">
        <f>0</f>
        <v>0</v>
      </c>
      <c r="AB66" s="58">
        <f>0</f>
        <v>0</v>
      </c>
      <c r="AC66" s="58">
        <f>0</f>
        <v>0</v>
      </c>
      <c r="AD66" s="58">
        <f>0</f>
        <v>0</v>
      </c>
      <c r="AE66" s="58">
        <f>0</f>
        <v>0</v>
      </c>
      <c r="AF66" s="58">
        <f>0</f>
        <v>0</v>
      </c>
      <c r="AG66" s="58">
        <f>0</f>
        <v>0</v>
      </c>
      <c r="AH66" s="58">
        <f>0</f>
        <v>0</v>
      </c>
      <c r="AI66" s="58">
        <f>0</f>
        <v>0</v>
      </c>
      <c r="AJ66" s="58">
        <f>0</f>
        <v>0</v>
      </c>
      <c r="AK66" s="58">
        <f>0</f>
        <v>0</v>
      </c>
      <c r="AL66" s="59">
        <f>0</f>
        <v>0</v>
      </c>
    </row>
    <row r="67" spans="2:39" ht="15" customHeight="1" outlineLevel="3">
      <c r="B67" s="48" t="s">
        <v>119</v>
      </c>
      <c r="C67" s="354"/>
      <c r="D67" s="356" t="s">
        <v>247</v>
      </c>
      <c r="E67" s="93">
        <f>0</f>
        <v>0</v>
      </c>
      <c r="F67" s="55">
        <f>8125692</f>
        <v>8125692</v>
      </c>
      <c r="G67" s="55">
        <f>2495502</f>
        <v>2495502</v>
      </c>
      <c r="H67" s="56">
        <f>0</f>
        <v>0</v>
      </c>
      <c r="I67" s="57">
        <f>2925561</f>
        <v>2925561</v>
      </c>
      <c r="J67" s="58">
        <f>1933304</f>
        <v>1933304</v>
      </c>
      <c r="K67" s="58">
        <f>10456</f>
        <v>10456</v>
      </c>
      <c r="L67" s="58">
        <f>0</f>
        <v>0</v>
      </c>
      <c r="M67" s="58">
        <f>0</f>
        <v>0</v>
      </c>
      <c r="N67" s="58">
        <f>0</f>
        <v>0</v>
      </c>
      <c r="O67" s="58">
        <f>0</f>
        <v>0</v>
      </c>
      <c r="P67" s="58">
        <f>0</f>
        <v>0</v>
      </c>
      <c r="Q67" s="58">
        <f>0</f>
        <v>0</v>
      </c>
      <c r="R67" s="58">
        <f>0</f>
        <v>0</v>
      </c>
      <c r="S67" s="58">
        <f>0</f>
        <v>0</v>
      </c>
      <c r="T67" s="58">
        <f>0</f>
        <v>0</v>
      </c>
      <c r="U67" s="58">
        <f>0</f>
        <v>0</v>
      </c>
      <c r="V67" s="58">
        <f>0</f>
        <v>0</v>
      </c>
      <c r="W67" s="58">
        <f>0</f>
        <v>0</v>
      </c>
      <c r="X67" s="58">
        <f>0</f>
        <v>0</v>
      </c>
      <c r="Y67" s="58">
        <f>0</f>
        <v>0</v>
      </c>
      <c r="Z67" s="58">
        <f>0</f>
        <v>0</v>
      </c>
      <c r="AA67" s="58">
        <f>0</f>
        <v>0</v>
      </c>
      <c r="AB67" s="58">
        <f>0</f>
        <v>0</v>
      </c>
      <c r="AC67" s="58">
        <f>0</f>
        <v>0</v>
      </c>
      <c r="AD67" s="58">
        <f>0</f>
        <v>0</v>
      </c>
      <c r="AE67" s="58">
        <f>0</f>
        <v>0</v>
      </c>
      <c r="AF67" s="58">
        <f>0</f>
        <v>0</v>
      </c>
      <c r="AG67" s="58">
        <f>0</f>
        <v>0</v>
      </c>
      <c r="AH67" s="58">
        <f>0</f>
        <v>0</v>
      </c>
      <c r="AI67" s="58">
        <f>0</f>
        <v>0</v>
      </c>
      <c r="AJ67" s="58">
        <f>0</f>
        <v>0</v>
      </c>
      <c r="AK67" s="58">
        <f>0</f>
        <v>0</v>
      </c>
      <c r="AL67" s="59">
        <f>0</f>
        <v>0</v>
      </c>
    </row>
    <row r="68" spans="2:39" ht="15" customHeight="1" outlineLevel="2">
      <c r="B68" s="48" t="s">
        <v>193</v>
      </c>
      <c r="C68" s="354"/>
      <c r="D68" s="355" t="s">
        <v>249</v>
      </c>
      <c r="E68" s="93">
        <f>0</f>
        <v>0</v>
      </c>
      <c r="F68" s="55">
        <f>0</f>
        <v>0</v>
      </c>
      <c r="G68" s="55">
        <f>0</f>
        <v>0</v>
      </c>
      <c r="H68" s="56">
        <f>0</f>
        <v>0</v>
      </c>
      <c r="I68" s="57">
        <f>1310485</f>
        <v>1310485</v>
      </c>
      <c r="J68" s="58">
        <f>1863304</f>
        <v>1863304</v>
      </c>
      <c r="K68" s="58">
        <f>10456</f>
        <v>10456</v>
      </c>
      <c r="L68" s="58">
        <f>0</f>
        <v>0</v>
      </c>
      <c r="M68" s="58">
        <f>0</f>
        <v>0</v>
      </c>
      <c r="N68" s="58">
        <f>0</f>
        <v>0</v>
      </c>
      <c r="O68" s="58">
        <f>0</f>
        <v>0</v>
      </c>
      <c r="P68" s="58">
        <f>0</f>
        <v>0</v>
      </c>
      <c r="Q68" s="58">
        <f>0</f>
        <v>0</v>
      </c>
      <c r="R68" s="58">
        <f>0</f>
        <v>0</v>
      </c>
      <c r="S68" s="58">
        <f>0</f>
        <v>0</v>
      </c>
      <c r="T68" s="58">
        <f>0</f>
        <v>0</v>
      </c>
      <c r="U68" s="58">
        <f>0</f>
        <v>0</v>
      </c>
      <c r="V68" s="58">
        <f>0</f>
        <v>0</v>
      </c>
      <c r="W68" s="58">
        <f>0</f>
        <v>0</v>
      </c>
      <c r="X68" s="58">
        <f>0</f>
        <v>0</v>
      </c>
      <c r="Y68" s="58">
        <f>0</f>
        <v>0</v>
      </c>
      <c r="Z68" s="58">
        <f>0</f>
        <v>0</v>
      </c>
      <c r="AA68" s="58">
        <f>0</f>
        <v>0</v>
      </c>
      <c r="AB68" s="58">
        <f>0</f>
        <v>0</v>
      </c>
      <c r="AC68" s="58">
        <f>0</f>
        <v>0</v>
      </c>
      <c r="AD68" s="58">
        <f>0</f>
        <v>0</v>
      </c>
      <c r="AE68" s="58">
        <f>0</f>
        <v>0</v>
      </c>
      <c r="AF68" s="58">
        <f>0</f>
        <v>0</v>
      </c>
      <c r="AG68" s="58">
        <f>0</f>
        <v>0</v>
      </c>
      <c r="AH68" s="58">
        <f>0</f>
        <v>0</v>
      </c>
      <c r="AI68" s="58">
        <f>0</f>
        <v>0</v>
      </c>
      <c r="AJ68" s="58">
        <f>0</f>
        <v>0</v>
      </c>
      <c r="AK68" s="58">
        <f>0</f>
        <v>0</v>
      </c>
      <c r="AL68" s="59">
        <f>0</f>
        <v>0</v>
      </c>
    </row>
    <row r="69" spans="2:39" ht="15" customHeight="1" outlineLevel="2">
      <c r="B69" s="48" t="s">
        <v>194</v>
      </c>
      <c r="C69" s="354"/>
      <c r="D69" s="355" t="s">
        <v>250</v>
      </c>
      <c r="E69" s="93">
        <f>0</f>
        <v>0</v>
      </c>
      <c r="F69" s="55">
        <f>0</f>
        <v>0</v>
      </c>
      <c r="G69" s="55">
        <f>0</f>
        <v>0</v>
      </c>
      <c r="H69" s="56">
        <f>0</f>
        <v>0</v>
      </c>
      <c r="I69" s="57">
        <f>2022915</f>
        <v>2022915</v>
      </c>
      <c r="J69" s="58">
        <f>941713</f>
        <v>941713</v>
      </c>
      <c r="K69" s="58">
        <f>0</f>
        <v>0</v>
      </c>
      <c r="L69" s="58">
        <f>0</f>
        <v>0</v>
      </c>
      <c r="M69" s="58">
        <f>0</f>
        <v>0</v>
      </c>
      <c r="N69" s="58">
        <f>0</f>
        <v>0</v>
      </c>
      <c r="O69" s="58">
        <f>0</f>
        <v>0</v>
      </c>
      <c r="P69" s="58">
        <f>0</f>
        <v>0</v>
      </c>
      <c r="Q69" s="58">
        <f>0</f>
        <v>0</v>
      </c>
      <c r="R69" s="58">
        <f>0</f>
        <v>0</v>
      </c>
      <c r="S69" s="58">
        <f>0</f>
        <v>0</v>
      </c>
      <c r="T69" s="58">
        <f>0</f>
        <v>0</v>
      </c>
      <c r="U69" s="58">
        <f>0</f>
        <v>0</v>
      </c>
      <c r="V69" s="58">
        <f>0</f>
        <v>0</v>
      </c>
      <c r="W69" s="58">
        <f>0</f>
        <v>0</v>
      </c>
      <c r="X69" s="58">
        <f>0</f>
        <v>0</v>
      </c>
      <c r="Y69" s="58">
        <f>0</f>
        <v>0</v>
      </c>
      <c r="Z69" s="58">
        <f>0</f>
        <v>0</v>
      </c>
      <c r="AA69" s="58">
        <f>0</f>
        <v>0</v>
      </c>
      <c r="AB69" s="58">
        <f>0</f>
        <v>0</v>
      </c>
      <c r="AC69" s="58">
        <f>0</f>
        <v>0</v>
      </c>
      <c r="AD69" s="58">
        <f>0</f>
        <v>0</v>
      </c>
      <c r="AE69" s="58">
        <f>0</f>
        <v>0</v>
      </c>
      <c r="AF69" s="58">
        <f>0</f>
        <v>0</v>
      </c>
      <c r="AG69" s="58">
        <f>0</f>
        <v>0</v>
      </c>
      <c r="AH69" s="58">
        <f>0</f>
        <v>0</v>
      </c>
      <c r="AI69" s="58">
        <f>0</f>
        <v>0</v>
      </c>
      <c r="AJ69" s="58">
        <f>0</f>
        <v>0</v>
      </c>
      <c r="AK69" s="58">
        <f>0</f>
        <v>0</v>
      </c>
      <c r="AL69" s="59">
        <f>0</f>
        <v>0</v>
      </c>
    </row>
    <row r="70" spans="2:39" ht="15" customHeight="1" outlineLevel="2">
      <c r="B70" s="48" t="s">
        <v>195</v>
      </c>
      <c r="C70" s="354"/>
      <c r="D70" s="355" t="s">
        <v>251</v>
      </c>
      <c r="E70" s="93">
        <f>0</f>
        <v>0</v>
      </c>
      <c r="F70" s="55">
        <f>0</f>
        <v>0</v>
      </c>
      <c r="G70" s="55">
        <f>0</f>
        <v>0</v>
      </c>
      <c r="H70" s="56">
        <f>0</f>
        <v>0</v>
      </c>
      <c r="I70" s="57">
        <f>65000</f>
        <v>65000</v>
      </c>
      <c r="J70" s="58">
        <f>0</f>
        <v>0</v>
      </c>
      <c r="K70" s="58">
        <f>0</f>
        <v>0</v>
      </c>
      <c r="L70" s="58">
        <f>0</f>
        <v>0</v>
      </c>
      <c r="M70" s="58">
        <f>0</f>
        <v>0</v>
      </c>
      <c r="N70" s="58">
        <f>0</f>
        <v>0</v>
      </c>
      <c r="O70" s="58">
        <f>0</f>
        <v>0</v>
      </c>
      <c r="P70" s="58">
        <f>0</f>
        <v>0</v>
      </c>
      <c r="Q70" s="58">
        <f>0</f>
        <v>0</v>
      </c>
      <c r="R70" s="58">
        <f>0</f>
        <v>0</v>
      </c>
      <c r="S70" s="58">
        <f>0</f>
        <v>0</v>
      </c>
      <c r="T70" s="58">
        <f>0</f>
        <v>0</v>
      </c>
      <c r="U70" s="58">
        <f>0</f>
        <v>0</v>
      </c>
      <c r="V70" s="58">
        <f>0</f>
        <v>0</v>
      </c>
      <c r="W70" s="58">
        <f>0</f>
        <v>0</v>
      </c>
      <c r="X70" s="58">
        <f>0</f>
        <v>0</v>
      </c>
      <c r="Y70" s="58">
        <f>0</f>
        <v>0</v>
      </c>
      <c r="Z70" s="58">
        <f>0</f>
        <v>0</v>
      </c>
      <c r="AA70" s="58">
        <f>0</f>
        <v>0</v>
      </c>
      <c r="AB70" s="58">
        <f>0</f>
        <v>0</v>
      </c>
      <c r="AC70" s="58">
        <f>0</f>
        <v>0</v>
      </c>
      <c r="AD70" s="58">
        <f>0</f>
        <v>0</v>
      </c>
      <c r="AE70" s="58">
        <f>0</f>
        <v>0</v>
      </c>
      <c r="AF70" s="58">
        <f>0</f>
        <v>0</v>
      </c>
      <c r="AG70" s="58">
        <f>0</f>
        <v>0</v>
      </c>
      <c r="AH70" s="58">
        <f>0</f>
        <v>0</v>
      </c>
      <c r="AI70" s="58">
        <f>0</f>
        <v>0</v>
      </c>
      <c r="AJ70" s="58">
        <f>0</f>
        <v>0</v>
      </c>
      <c r="AK70" s="58">
        <f>0</f>
        <v>0</v>
      </c>
      <c r="AL70" s="59">
        <f>0</f>
        <v>0</v>
      </c>
    </row>
    <row r="71" spans="2:39" ht="26.25" customHeight="1" outlineLevel="1">
      <c r="B71" s="47">
        <v>12</v>
      </c>
      <c r="C71" s="376"/>
      <c r="D71" s="353" t="s">
        <v>124</v>
      </c>
      <c r="E71" s="96" t="s">
        <v>31</v>
      </c>
      <c r="F71" s="69" t="s">
        <v>31</v>
      </c>
      <c r="G71" s="69" t="s">
        <v>31</v>
      </c>
      <c r="H71" s="70" t="s">
        <v>31</v>
      </c>
      <c r="I71" s="71" t="s">
        <v>31</v>
      </c>
      <c r="J71" s="72" t="s">
        <v>31</v>
      </c>
      <c r="K71" s="72" t="s">
        <v>31</v>
      </c>
      <c r="L71" s="72" t="s">
        <v>31</v>
      </c>
      <c r="M71" s="72" t="s">
        <v>31</v>
      </c>
      <c r="N71" s="72" t="s">
        <v>31</v>
      </c>
      <c r="O71" s="72" t="s">
        <v>31</v>
      </c>
      <c r="P71" s="72" t="s">
        <v>31</v>
      </c>
      <c r="Q71" s="72" t="s">
        <v>31</v>
      </c>
      <c r="R71" s="72" t="s">
        <v>31</v>
      </c>
      <c r="S71" s="72" t="s">
        <v>31</v>
      </c>
      <c r="T71" s="72" t="s">
        <v>31</v>
      </c>
      <c r="U71" s="72" t="s">
        <v>31</v>
      </c>
      <c r="V71" s="72" t="s">
        <v>31</v>
      </c>
      <c r="W71" s="72" t="s">
        <v>31</v>
      </c>
      <c r="X71" s="72" t="s">
        <v>31</v>
      </c>
      <c r="Y71" s="72" t="s">
        <v>31</v>
      </c>
      <c r="Z71" s="72" t="s">
        <v>31</v>
      </c>
      <c r="AA71" s="72" t="s">
        <v>31</v>
      </c>
      <c r="AB71" s="72" t="s">
        <v>31</v>
      </c>
      <c r="AC71" s="72" t="s">
        <v>31</v>
      </c>
      <c r="AD71" s="72" t="s">
        <v>31</v>
      </c>
      <c r="AE71" s="72" t="s">
        <v>31</v>
      </c>
      <c r="AF71" s="72" t="s">
        <v>31</v>
      </c>
      <c r="AG71" s="72" t="s">
        <v>31</v>
      </c>
      <c r="AH71" s="72" t="s">
        <v>31</v>
      </c>
      <c r="AI71" s="72" t="s">
        <v>31</v>
      </c>
      <c r="AJ71" s="72" t="s">
        <v>31</v>
      </c>
      <c r="AK71" s="72" t="s">
        <v>31</v>
      </c>
      <c r="AL71" s="73" t="s">
        <v>31</v>
      </c>
      <c r="AM71" s="43"/>
    </row>
    <row r="72" spans="2:39" ht="25.5" customHeight="1" outlineLevel="2">
      <c r="B72" s="48" t="s">
        <v>196</v>
      </c>
      <c r="C72" s="354"/>
      <c r="D72" s="355" t="s">
        <v>460</v>
      </c>
      <c r="E72" s="93">
        <f>0</f>
        <v>0</v>
      </c>
      <c r="F72" s="55">
        <f>0</f>
        <v>0</v>
      </c>
      <c r="G72" s="55">
        <f>0</f>
        <v>0</v>
      </c>
      <c r="H72" s="56">
        <f>0</f>
        <v>0</v>
      </c>
      <c r="I72" s="57">
        <f>255982</f>
        <v>255982</v>
      </c>
      <c r="J72" s="58">
        <f>0</f>
        <v>0</v>
      </c>
      <c r="K72" s="58">
        <f>0</f>
        <v>0</v>
      </c>
      <c r="L72" s="58">
        <f>0</f>
        <v>0</v>
      </c>
      <c r="M72" s="58">
        <f>0</f>
        <v>0</v>
      </c>
      <c r="N72" s="58">
        <f>0</f>
        <v>0</v>
      </c>
      <c r="O72" s="58">
        <f>0</f>
        <v>0</v>
      </c>
      <c r="P72" s="58">
        <f>0</f>
        <v>0</v>
      </c>
      <c r="Q72" s="58">
        <f>0</f>
        <v>0</v>
      </c>
      <c r="R72" s="58">
        <f>0</f>
        <v>0</v>
      </c>
      <c r="S72" s="58">
        <f>0</f>
        <v>0</v>
      </c>
      <c r="T72" s="58">
        <f>0</f>
        <v>0</v>
      </c>
      <c r="U72" s="58">
        <f>0</f>
        <v>0</v>
      </c>
      <c r="V72" s="58">
        <f>0</f>
        <v>0</v>
      </c>
      <c r="W72" s="58">
        <f>0</f>
        <v>0</v>
      </c>
      <c r="X72" s="58">
        <f>0</f>
        <v>0</v>
      </c>
      <c r="Y72" s="58">
        <f>0</f>
        <v>0</v>
      </c>
      <c r="Z72" s="58">
        <f>0</f>
        <v>0</v>
      </c>
      <c r="AA72" s="58">
        <f>0</f>
        <v>0</v>
      </c>
      <c r="AB72" s="58">
        <f>0</f>
        <v>0</v>
      </c>
      <c r="AC72" s="58">
        <f>0</f>
        <v>0</v>
      </c>
      <c r="AD72" s="58">
        <f>0</f>
        <v>0</v>
      </c>
      <c r="AE72" s="58">
        <f>0</f>
        <v>0</v>
      </c>
      <c r="AF72" s="58">
        <f>0</f>
        <v>0</v>
      </c>
      <c r="AG72" s="58">
        <f>0</f>
        <v>0</v>
      </c>
      <c r="AH72" s="58">
        <f>0</f>
        <v>0</v>
      </c>
      <c r="AI72" s="58">
        <f>0</f>
        <v>0</v>
      </c>
      <c r="AJ72" s="58">
        <f>0</f>
        <v>0</v>
      </c>
      <c r="AK72" s="58">
        <f>0</f>
        <v>0</v>
      </c>
      <c r="AL72" s="59">
        <f>0</f>
        <v>0</v>
      </c>
    </row>
    <row r="73" spans="2:39" ht="15" customHeight="1" outlineLevel="3">
      <c r="B73" s="48" t="s">
        <v>126</v>
      </c>
      <c r="C73" s="354"/>
      <c r="D73" s="356" t="s">
        <v>252</v>
      </c>
      <c r="E73" s="93">
        <f>0</f>
        <v>0</v>
      </c>
      <c r="F73" s="55">
        <f>0</f>
        <v>0</v>
      </c>
      <c r="G73" s="55">
        <f>0</f>
        <v>0</v>
      </c>
      <c r="H73" s="56">
        <f>0</f>
        <v>0</v>
      </c>
      <c r="I73" s="57">
        <f>232815</f>
        <v>232815</v>
      </c>
      <c r="J73" s="58">
        <f>0</f>
        <v>0</v>
      </c>
      <c r="K73" s="58">
        <f>0</f>
        <v>0</v>
      </c>
      <c r="L73" s="58">
        <f>0</f>
        <v>0</v>
      </c>
      <c r="M73" s="58">
        <f>0</f>
        <v>0</v>
      </c>
      <c r="N73" s="58">
        <f>0</f>
        <v>0</v>
      </c>
      <c r="O73" s="58">
        <f>0</f>
        <v>0</v>
      </c>
      <c r="P73" s="58">
        <f>0</f>
        <v>0</v>
      </c>
      <c r="Q73" s="58">
        <f>0</f>
        <v>0</v>
      </c>
      <c r="R73" s="58">
        <f>0</f>
        <v>0</v>
      </c>
      <c r="S73" s="58">
        <f>0</f>
        <v>0</v>
      </c>
      <c r="T73" s="58">
        <f>0</f>
        <v>0</v>
      </c>
      <c r="U73" s="58">
        <f>0</f>
        <v>0</v>
      </c>
      <c r="V73" s="58">
        <f>0</f>
        <v>0</v>
      </c>
      <c r="W73" s="58">
        <f>0</f>
        <v>0</v>
      </c>
      <c r="X73" s="58">
        <f>0</f>
        <v>0</v>
      </c>
      <c r="Y73" s="58">
        <f>0</f>
        <v>0</v>
      </c>
      <c r="Z73" s="58">
        <f>0</f>
        <v>0</v>
      </c>
      <c r="AA73" s="58">
        <f>0</f>
        <v>0</v>
      </c>
      <c r="AB73" s="58">
        <f>0</f>
        <v>0</v>
      </c>
      <c r="AC73" s="58">
        <f>0</f>
        <v>0</v>
      </c>
      <c r="AD73" s="58">
        <f>0</f>
        <v>0</v>
      </c>
      <c r="AE73" s="58">
        <f>0</f>
        <v>0</v>
      </c>
      <c r="AF73" s="58">
        <f>0</f>
        <v>0</v>
      </c>
      <c r="AG73" s="58">
        <f>0</f>
        <v>0</v>
      </c>
      <c r="AH73" s="58">
        <f>0</f>
        <v>0</v>
      </c>
      <c r="AI73" s="58">
        <f>0</f>
        <v>0</v>
      </c>
      <c r="AJ73" s="58">
        <f>0</f>
        <v>0</v>
      </c>
      <c r="AK73" s="58">
        <f>0</f>
        <v>0</v>
      </c>
      <c r="AL73" s="59">
        <f>0</f>
        <v>0</v>
      </c>
    </row>
    <row r="74" spans="2:39" ht="25.5" customHeight="1" outlineLevel="3">
      <c r="B74" s="48" t="s">
        <v>128</v>
      </c>
      <c r="C74" s="354"/>
      <c r="D74" s="357" t="s">
        <v>253</v>
      </c>
      <c r="E74" s="93">
        <f>0</f>
        <v>0</v>
      </c>
      <c r="F74" s="55">
        <f>0</f>
        <v>0</v>
      </c>
      <c r="G74" s="55">
        <f>0</f>
        <v>0</v>
      </c>
      <c r="H74" s="56">
        <f>0</f>
        <v>0</v>
      </c>
      <c r="I74" s="57">
        <f>212464</f>
        <v>212464</v>
      </c>
      <c r="J74" s="58">
        <f>0</f>
        <v>0</v>
      </c>
      <c r="K74" s="58">
        <f>0</f>
        <v>0</v>
      </c>
      <c r="L74" s="58">
        <f>0</f>
        <v>0</v>
      </c>
      <c r="M74" s="58">
        <f>0</f>
        <v>0</v>
      </c>
      <c r="N74" s="58">
        <f>0</f>
        <v>0</v>
      </c>
      <c r="O74" s="58">
        <f>0</f>
        <v>0</v>
      </c>
      <c r="P74" s="58">
        <f>0</f>
        <v>0</v>
      </c>
      <c r="Q74" s="58">
        <f>0</f>
        <v>0</v>
      </c>
      <c r="R74" s="58">
        <f>0</f>
        <v>0</v>
      </c>
      <c r="S74" s="58">
        <f>0</f>
        <v>0</v>
      </c>
      <c r="T74" s="58">
        <f>0</f>
        <v>0</v>
      </c>
      <c r="U74" s="58">
        <f>0</f>
        <v>0</v>
      </c>
      <c r="V74" s="58">
        <f>0</f>
        <v>0</v>
      </c>
      <c r="W74" s="58">
        <f>0</f>
        <v>0</v>
      </c>
      <c r="X74" s="58">
        <f>0</f>
        <v>0</v>
      </c>
      <c r="Y74" s="58">
        <f>0</f>
        <v>0</v>
      </c>
      <c r="Z74" s="58">
        <f>0</f>
        <v>0</v>
      </c>
      <c r="AA74" s="58">
        <f>0</f>
        <v>0</v>
      </c>
      <c r="AB74" s="58">
        <f>0</f>
        <v>0</v>
      </c>
      <c r="AC74" s="58">
        <f>0</f>
        <v>0</v>
      </c>
      <c r="AD74" s="58">
        <f>0</f>
        <v>0</v>
      </c>
      <c r="AE74" s="58">
        <f>0</f>
        <v>0</v>
      </c>
      <c r="AF74" s="58">
        <f>0</f>
        <v>0</v>
      </c>
      <c r="AG74" s="58">
        <f>0</f>
        <v>0</v>
      </c>
      <c r="AH74" s="58">
        <f>0</f>
        <v>0</v>
      </c>
      <c r="AI74" s="58">
        <f>0</f>
        <v>0</v>
      </c>
      <c r="AJ74" s="58">
        <f>0</f>
        <v>0</v>
      </c>
      <c r="AK74" s="58">
        <f>0</f>
        <v>0</v>
      </c>
      <c r="AL74" s="59">
        <f>0</f>
        <v>0</v>
      </c>
    </row>
    <row r="75" spans="2:39" ht="25.5" customHeight="1" outlineLevel="2">
      <c r="B75" s="48" t="s">
        <v>197</v>
      </c>
      <c r="C75" s="354"/>
      <c r="D75" s="355" t="s">
        <v>461</v>
      </c>
      <c r="E75" s="93">
        <f>0</f>
        <v>0</v>
      </c>
      <c r="F75" s="55">
        <f>0</f>
        <v>0</v>
      </c>
      <c r="G75" s="55">
        <f>0</f>
        <v>0</v>
      </c>
      <c r="H75" s="56">
        <f>0</f>
        <v>0</v>
      </c>
      <c r="I75" s="57">
        <f>972461</f>
        <v>972461</v>
      </c>
      <c r="J75" s="58">
        <f>3150344</f>
        <v>3150344</v>
      </c>
      <c r="K75" s="58">
        <f>0</f>
        <v>0</v>
      </c>
      <c r="L75" s="58">
        <f>0</f>
        <v>0</v>
      </c>
      <c r="M75" s="58">
        <f>0</f>
        <v>0</v>
      </c>
      <c r="N75" s="58">
        <f>0</f>
        <v>0</v>
      </c>
      <c r="O75" s="58">
        <f>0</f>
        <v>0</v>
      </c>
      <c r="P75" s="58">
        <f>0</f>
        <v>0</v>
      </c>
      <c r="Q75" s="58">
        <f>0</f>
        <v>0</v>
      </c>
      <c r="R75" s="58">
        <f>0</f>
        <v>0</v>
      </c>
      <c r="S75" s="58">
        <f>0</f>
        <v>0</v>
      </c>
      <c r="T75" s="58">
        <f>0</f>
        <v>0</v>
      </c>
      <c r="U75" s="58">
        <f>0</f>
        <v>0</v>
      </c>
      <c r="V75" s="58">
        <f>0</f>
        <v>0</v>
      </c>
      <c r="W75" s="58">
        <f>0</f>
        <v>0</v>
      </c>
      <c r="X75" s="58">
        <f>0</f>
        <v>0</v>
      </c>
      <c r="Y75" s="58">
        <f>0</f>
        <v>0</v>
      </c>
      <c r="Z75" s="58">
        <f>0</f>
        <v>0</v>
      </c>
      <c r="AA75" s="58">
        <f>0</f>
        <v>0</v>
      </c>
      <c r="AB75" s="58">
        <f>0</f>
        <v>0</v>
      </c>
      <c r="AC75" s="58">
        <f>0</f>
        <v>0</v>
      </c>
      <c r="AD75" s="58">
        <f>0</f>
        <v>0</v>
      </c>
      <c r="AE75" s="58">
        <f>0</f>
        <v>0</v>
      </c>
      <c r="AF75" s="58">
        <f>0</f>
        <v>0</v>
      </c>
      <c r="AG75" s="58">
        <f>0</f>
        <v>0</v>
      </c>
      <c r="AH75" s="58">
        <f>0</f>
        <v>0</v>
      </c>
      <c r="AI75" s="58">
        <f>0</f>
        <v>0</v>
      </c>
      <c r="AJ75" s="58">
        <f>0</f>
        <v>0</v>
      </c>
      <c r="AK75" s="58">
        <f>0</f>
        <v>0</v>
      </c>
      <c r="AL75" s="59">
        <f>0</f>
        <v>0</v>
      </c>
    </row>
    <row r="76" spans="2:39" ht="15" customHeight="1" outlineLevel="3">
      <c r="B76" s="48" t="s">
        <v>131</v>
      </c>
      <c r="C76" s="354"/>
      <c r="D76" s="356" t="s">
        <v>252</v>
      </c>
      <c r="E76" s="93">
        <f>0</f>
        <v>0</v>
      </c>
      <c r="F76" s="55">
        <f>0</f>
        <v>0</v>
      </c>
      <c r="G76" s="55">
        <f>0</f>
        <v>0</v>
      </c>
      <c r="H76" s="56">
        <f>0</f>
        <v>0</v>
      </c>
      <c r="I76" s="57">
        <f>972461</f>
        <v>972461</v>
      </c>
      <c r="J76" s="58">
        <f>3150344</f>
        <v>3150344</v>
      </c>
      <c r="K76" s="58">
        <f>0</f>
        <v>0</v>
      </c>
      <c r="L76" s="58">
        <f>0</f>
        <v>0</v>
      </c>
      <c r="M76" s="58">
        <f>0</f>
        <v>0</v>
      </c>
      <c r="N76" s="58">
        <f>0</f>
        <v>0</v>
      </c>
      <c r="O76" s="58">
        <f>0</f>
        <v>0</v>
      </c>
      <c r="P76" s="58">
        <f>0</f>
        <v>0</v>
      </c>
      <c r="Q76" s="58">
        <f>0</f>
        <v>0</v>
      </c>
      <c r="R76" s="58">
        <f>0</f>
        <v>0</v>
      </c>
      <c r="S76" s="58">
        <f>0</f>
        <v>0</v>
      </c>
      <c r="T76" s="58">
        <f>0</f>
        <v>0</v>
      </c>
      <c r="U76" s="58">
        <f>0</f>
        <v>0</v>
      </c>
      <c r="V76" s="58">
        <f>0</f>
        <v>0</v>
      </c>
      <c r="W76" s="58">
        <f>0</f>
        <v>0</v>
      </c>
      <c r="X76" s="58">
        <f>0</f>
        <v>0</v>
      </c>
      <c r="Y76" s="58">
        <f>0</f>
        <v>0</v>
      </c>
      <c r="Z76" s="58">
        <f>0</f>
        <v>0</v>
      </c>
      <c r="AA76" s="58">
        <f>0</f>
        <v>0</v>
      </c>
      <c r="AB76" s="58">
        <f>0</f>
        <v>0</v>
      </c>
      <c r="AC76" s="58">
        <f>0</f>
        <v>0</v>
      </c>
      <c r="AD76" s="58">
        <f>0</f>
        <v>0</v>
      </c>
      <c r="AE76" s="58">
        <f>0</f>
        <v>0</v>
      </c>
      <c r="AF76" s="58">
        <f>0</f>
        <v>0</v>
      </c>
      <c r="AG76" s="58">
        <f>0</f>
        <v>0</v>
      </c>
      <c r="AH76" s="58">
        <f>0</f>
        <v>0</v>
      </c>
      <c r="AI76" s="58">
        <f>0</f>
        <v>0</v>
      </c>
      <c r="AJ76" s="58">
        <f>0</f>
        <v>0</v>
      </c>
      <c r="AK76" s="58">
        <f>0</f>
        <v>0</v>
      </c>
      <c r="AL76" s="59">
        <f>0</f>
        <v>0</v>
      </c>
    </row>
    <row r="77" spans="2:39" ht="25.5" customHeight="1" outlineLevel="3">
      <c r="B77" s="48" t="s">
        <v>133</v>
      </c>
      <c r="C77" s="354"/>
      <c r="D77" s="357" t="s">
        <v>253</v>
      </c>
      <c r="E77" s="93">
        <f>0</f>
        <v>0</v>
      </c>
      <c r="F77" s="55">
        <f>0</f>
        <v>0</v>
      </c>
      <c r="G77" s="55">
        <f>0</f>
        <v>0</v>
      </c>
      <c r="H77" s="56">
        <f>0</f>
        <v>0</v>
      </c>
      <c r="I77" s="57">
        <f>766427.52</f>
        <v>766427.52</v>
      </c>
      <c r="J77" s="58">
        <f>671413</f>
        <v>671413</v>
      </c>
      <c r="K77" s="58">
        <f>0</f>
        <v>0</v>
      </c>
      <c r="L77" s="58">
        <f>0</f>
        <v>0</v>
      </c>
      <c r="M77" s="58">
        <f>0</f>
        <v>0</v>
      </c>
      <c r="N77" s="58">
        <f>0</f>
        <v>0</v>
      </c>
      <c r="O77" s="58">
        <f>0</f>
        <v>0</v>
      </c>
      <c r="P77" s="58">
        <f>0</f>
        <v>0</v>
      </c>
      <c r="Q77" s="58">
        <f>0</f>
        <v>0</v>
      </c>
      <c r="R77" s="58">
        <f>0</f>
        <v>0</v>
      </c>
      <c r="S77" s="58">
        <f>0</f>
        <v>0</v>
      </c>
      <c r="T77" s="58">
        <f>0</f>
        <v>0</v>
      </c>
      <c r="U77" s="58">
        <f>0</f>
        <v>0</v>
      </c>
      <c r="V77" s="58">
        <f>0</f>
        <v>0</v>
      </c>
      <c r="W77" s="58">
        <f>0</f>
        <v>0</v>
      </c>
      <c r="X77" s="58">
        <f>0</f>
        <v>0</v>
      </c>
      <c r="Y77" s="58">
        <f>0</f>
        <v>0</v>
      </c>
      <c r="Z77" s="58">
        <f>0</f>
        <v>0</v>
      </c>
      <c r="AA77" s="58">
        <f>0</f>
        <v>0</v>
      </c>
      <c r="AB77" s="58">
        <f>0</f>
        <v>0</v>
      </c>
      <c r="AC77" s="58">
        <f>0</f>
        <v>0</v>
      </c>
      <c r="AD77" s="58">
        <f>0</f>
        <v>0</v>
      </c>
      <c r="AE77" s="58">
        <f>0</f>
        <v>0</v>
      </c>
      <c r="AF77" s="58">
        <f>0</f>
        <v>0</v>
      </c>
      <c r="AG77" s="58">
        <f>0</f>
        <v>0</v>
      </c>
      <c r="AH77" s="58">
        <f>0</f>
        <v>0</v>
      </c>
      <c r="AI77" s="58">
        <f>0</f>
        <v>0</v>
      </c>
      <c r="AJ77" s="58">
        <f>0</f>
        <v>0</v>
      </c>
      <c r="AK77" s="58">
        <f>0</f>
        <v>0</v>
      </c>
      <c r="AL77" s="59">
        <f>0</f>
        <v>0</v>
      </c>
    </row>
    <row r="78" spans="2:39" ht="25.5" customHeight="1" outlineLevel="2">
      <c r="B78" s="48" t="s">
        <v>198</v>
      </c>
      <c r="C78" s="354"/>
      <c r="D78" s="355" t="s">
        <v>254</v>
      </c>
      <c r="E78" s="93">
        <f>0</f>
        <v>0</v>
      </c>
      <c r="F78" s="55">
        <f>0</f>
        <v>0</v>
      </c>
      <c r="G78" s="55">
        <f>0</f>
        <v>0</v>
      </c>
      <c r="H78" s="56">
        <f>0</f>
        <v>0</v>
      </c>
      <c r="I78" s="57">
        <f>401471</f>
        <v>401471</v>
      </c>
      <c r="J78" s="58">
        <f>23010</f>
        <v>23010</v>
      </c>
      <c r="K78" s="58">
        <f>0</f>
        <v>0</v>
      </c>
      <c r="L78" s="58">
        <f>0</f>
        <v>0</v>
      </c>
      <c r="M78" s="58">
        <f>0</f>
        <v>0</v>
      </c>
      <c r="N78" s="58">
        <f>0</f>
        <v>0</v>
      </c>
      <c r="O78" s="58">
        <f>0</f>
        <v>0</v>
      </c>
      <c r="P78" s="58">
        <f>0</f>
        <v>0</v>
      </c>
      <c r="Q78" s="58">
        <f>0</f>
        <v>0</v>
      </c>
      <c r="R78" s="58">
        <f>0</f>
        <v>0</v>
      </c>
      <c r="S78" s="58">
        <f>0</f>
        <v>0</v>
      </c>
      <c r="T78" s="58">
        <f>0</f>
        <v>0</v>
      </c>
      <c r="U78" s="58">
        <f>0</f>
        <v>0</v>
      </c>
      <c r="V78" s="58">
        <f>0</f>
        <v>0</v>
      </c>
      <c r="W78" s="58">
        <f>0</f>
        <v>0</v>
      </c>
      <c r="X78" s="58">
        <f>0</f>
        <v>0</v>
      </c>
      <c r="Y78" s="58">
        <f>0</f>
        <v>0</v>
      </c>
      <c r="Z78" s="58">
        <f>0</f>
        <v>0</v>
      </c>
      <c r="AA78" s="58">
        <f>0</f>
        <v>0</v>
      </c>
      <c r="AB78" s="58">
        <f>0</f>
        <v>0</v>
      </c>
      <c r="AC78" s="58">
        <f>0</f>
        <v>0</v>
      </c>
      <c r="AD78" s="58">
        <f>0</f>
        <v>0</v>
      </c>
      <c r="AE78" s="58">
        <f>0</f>
        <v>0</v>
      </c>
      <c r="AF78" s="58">
        <f>0</f>
        <v>0</v>
      </c>
      <c r="AG78" s="58">
        <f>0</f>
        <v>0</v>
      </c>
      <c r="AH78" s="58">
        <f>0</f>
        <v>0</v>
      </c>
      <c r="AI78" s="58">
        <f>0</f>
        <v>0</v>
      </c>
      <c r="AJ78" s="58">
        <f>0</f>
        <v>0</v>
      </c>
      <c r="AK78" s="58">
        <f>0</f>
        <v>0</v>
      </c>
      <c r="AL78" s="59">
        <f>0</f>
        <v>0</v>
      </c>
    </row>
    <row r="79" spans="2:39" ht="15" customHeight="1" outlineLevel="3">
      <c r="B79" s="48" t="s">
        <v>136</v>
      </c>
      <c r="C79" s="354"/>
      <c r="D79" s="356" t="s">
        <v>256</v>
      </c>
      <c r="E79" s="93">
        <f>0</f>
        <v>0</v>
      </c>
      <c r="F79" s="55">
        <f>0</f>
        <v>0</v>
      </c>
      <c r="G79" s="55">
        <f>0</f>
        <v>0</v>
      </c>
      <c r="H79" s="56">
        <f>0</f>
        <v>0</v>
      </c>
      <c r="I79" s="57">
        <f>313684</f>
        <v>313684</v>
      </c>
      <c r="J79" s="58">
        <f>23010</f>
        <v>23010</v>
      </c>
      <c r="K79" s="58">
        <f>0</f>
        <v>0</v>
      </c>
      <c r="L79" s="58">
        <f>0</f>
        <v>0</v>
      </c>
      <c r="M79" s="58">
        <f>0</f>
        <v>0</v>
      </c>
      <c r="N79" s="58">
        <f>0</f>
        <v>0</v>
      </c>
      <c r="O79" s="58">
        <f>0</f>
        <v>0</v>
      </c>
      <c r="P79" s="58">
        <f>0</f>
        <v>0</v>
      </c>
      <c r="Q79" s="58">
        <f>0</f>
        <v>0</v>
      </c>
      <c r="R79" s="58">
        <f>0</f>
        <v>0</v>
      </c>
      <c r="S79" s="58">
        <f>0</f>
        <v>0</v>
      </c>
      <c r="T79" s="58">
        <f>0</f>
        <v>0</v>
      </c>
      <c r="U79" s="58">
        <f>0</f>
        <v>0</v>
      </c>
      <c r="V79" s="58">
        <f>0</f>
        <v>0</v>
      </c>
      <c r="W79" s="58">
        <f>0</f>
        <v>0</v>
      </c>
      <c r="X79" s="58">
        <f>0</f>
        <v>0</v>
      </c>
      <c r="Y79" s="58">
        <f>0</f>
        <v>0</v>
      </c>
      <c r="Z79" s="58">
        <f>0</f>
        <v>0</v>
      </c>
      <c r="AA79" s="58">
        <f>0</f>
        <v>0</v>
      </c>
      <c r="AB79" s="58">
        <f>0</f>
        <v>0</v>
      </c>
      <c r="AC79" s="58">
        <f>0</f>
        <v>0</v>
      </c>
      <c r="AD79" s="58">
        <f>0</f>
        <v>0</v>
      </c>
      <c r="AE79" s="58">
        <f>0</f>
        <v>0</v>
      </c>
      <c r="AF79" s="58">
        <f>0</f>
        <v>0</v>
      </c>
      <c r="AG79" s="58">
        <f>0</f>
        <v>0</v>
      </c>
      <c r="AH79" s="58">
        <f>0</f>
        <v>0</v>
      </c>
      <c r="AI79" s="58">
        <f>0</f>
        <v>0</v>
      </c>
      <c r="AJ79" s="58">
        <f>0</f>
        <v>0</v>
      </c>
      <c r="AK79" s="58">
        <f>0</f>
        <v>0</v>
      </c>
      <c r="AL79" s="59">
        <f>0</f>
        <v>0</v>
      </c>
    </row>
    <row r="80" spans="2:39" ht="25.5" customHeight="1" outlineLevel="3">
      <c r="B80" s="48" t="s">
        <v>138</v>
      </c>
      <c r="C80" s="354"/>
      <c r="D80" s="356" t="s">
        <v>255</v>
      </c>
      <c r="E80" s="93">
        <f>0</f>
        <v>0</v>
      </c>
      <c r="F80" s="55">
        <f>0</f>
        <v>0</v>
      </c>
      <c r="G80" s="55">
        <f>0</f>
        <v>0</v>
      </c>
      <c r="H80" s="56">
        <f>0</f>
        <v>0</v>
      </c>
      <c r="I80" s="57">
        <f>293323.5</f>
        <v>293323.5</v>
      </c>
      <c r="J80" s="58">
        <f>23010</f>
        <v>23010</v>
      </c>
      <c r="K80" s="58">
        <f>0</f>
        <v>0</v>
      </c>
      <c r="L80" s="58">
        <f>0</f>
        <v>0</v>
      </c>
      <c r="M80" s="58">
        <f>0</f>
        <v>0</v>
      </c>
      <c r="N80" s="58">
        <f>0</f>
        <v>0</v>
      </c>
      <c r="O80" s="58">
        <f>0</f>
        <v>0</v>
      </c>
      <c r="P80" s="58">
        <f>0</f>
        <v>0</v>
      </c>
      <c r="Q80" s="58">
        <f>0</f>
        <v>0</v>
      </c>
      <c r="R80" s="58">
        <f>0</f>
        <v>0</v>
      </c>
      <c r="S80" s="58">
        <f>0</f>
        <v>0</v>
      </c>
      <c r="T80" s="58">
        <f>0</f>
        <v>0</v>
      </c>
      <c r="U80" s="58">
        <f>0</f>
        <v>0</v>
      </c>
      <c r="V80" s="58">
        <f>0</f>
        <v>0</v>
      </c>
      <c r="W80" s="58">
        <f>0</f>
        <v>0</v>
      </c>
      <c r="X80" s="58">
        <f>0</f>
        <v>0</v>
      </c>
      <c r="Y80" s="58">
        <f>0</f>
        <v>0</v>
      </c>
      <c r="Z80" s="58">
        <f>0</f>
        <v>0</v>
      </c>
      <c r="AA80" s="58">
        <f>0</f>
        <v>0</v>
      </c>
      <c r="AB80" s="58">
        <f>0</f>
        <v>0</v>
      </c>
      <c r="AC80" s="58">
        <f>0</f>
        <v>0</v>
      </c>
      <c r="AD80" s="58">
        <f>0</f>
        <v>0</v>
      </c>
      <c r="AE80" s="58">
        <f>0</f>
        <v>0</v>
      </c>
      <c r="AF80" s="58">
        <f>0</f>
        <v>0</v>
      </c>
      <c r="AG80" s="58">
        <f>0</f>
        <v>0</v>
      </c>
      <c r="AH80" s="58">
        <f>0</f>
        <v>0</v>
      </c>
      <c r="AI80" s="58">
        <f>0</f>
        <v>0</v>
      </c>
      <c r="AJ80" s="58">
        <f>0</f>
        <v>0</v>
      </c>
      <c r="AK80" s="58">
        <f>0</f>
        <v>0</v>
      </c>
      <c r="AL80" s="59">
        <f>0</f>
        <v>0</v>
      </c>
    </row>
    <row r="81" spans="1:39" ht="25.5" customHeight="1" outlineLevel="2">
      <c r="B81" s="48" t="s">
        <v>199</v>
      </c>
      <c r="C81" s="354"/>
      <c r="D81" s="355" t="s">
        <v>257</v>
      </c>
      <c r="E81" s="93">
        <f>0</f>
        <v>0</v>
      </c>
      <c r="F81" s="55">
        <f>0</f>
        <v>0</v>
      </c>
      <c r="G81" s="55">
        <f>0</f>
        <v>0</v>
      </c>
      <c r="H81" s="56">
        <f>0</f>
        <v>0</v>
      </c>
      <c r="I81" s="57">
        <f>2467120</f>
        <v>2467120</v>
      </c>
      <c r="J81" s="58">
        <f>1852242</f>
        <v>1852242</v>
      </c>
      <c r="K81" s="58">
        <f>0</f>
        <v>0</v>
      </c>
      <c r="L81" s="58">
        <f>0</f>
        <v>0</v>
      </c>
      <c r="M81" s="58">
        <f>0</f>
        <v>0</v>
      </c>
      <c r="N81" s="58">
        <f>0</f>
        <v>0</v>
      </c>
      <c r="O81" s="58">
        <f>0</f>
        <v>0</v>
      </c>
      <c r="P81" s="58">
        <f>0</f>
        <v>0</v>
      </c>
      <c r="Q81" s="58">
        <f>0</f>
        <v>0</v>
      </c>
      <c r="R81" s="58">
        <f>0</f>
        <v>0</v>
      </c>
      <c r="S81" s="58">
        <f>0</f>
        <v>0</v>
      </c>
      <c r="T81" s="58">
        <f>0</f>
        <v>0</v>
      </c>
      <c r="U81" s="58">
        <f>0</f>
        <v>0</v>
      </c>
      <c r="V81" s="58">
        <f>0</f>
        <v>0</v>
      </c>
      <c r="W81" s="58">
        <f>0</f>
        <v>0</v>
      </c>
      <c r="X81" s="58">
        <f>0</f>
        <v>0</v>
      </c>
      <c r="Y81" s="58">
        <f>0</f>
        <v>0</v>
      </c>
      <c r="Z81" s="58">
        <f>0</f>
        <v>0</v>
      </c>
      <c r="AA81" s="58">
        <f>0</f>
        <v>0</v>
      </c>
      <c r="AB81" s="58">
        <f>0</f>
        <v>0</v>
      </c>
      <c r="AC81" s="58">
        <f>0</f>
        <v>0</v>
      </c>
      <c r="AD81" s="58">
        <f>0</f>
        <v>0</v>
      </c>
      <c r="AE81" s="58">
        <f>0</f>
        <v>0</v>
      </c>
      <c r="AF81" s="58">
        <f>0</f>
        <v>0</v>
      </c>
      <c r="AG81" s="58">
        <f>0</f>
        <v>0</v>
      </c>
      <c r="AH81" s="58">
        <f>0</f>
        <v>0</v>
      </c>
      <c r="AI81" s="58">
        <f>0</f>
        <v>0</v>
      </c>
      <c r="AJ81" s="58">
        <f>0</f>
        <v>0</v>
      </c>
      <c r="AK81" s="58">
        <f>0</f>
        <v>0</v>
      </c>
      <c r="AL81" s="59">
        <f>0</f>
        <v>0</v>
      </c>
    </row>
    <row r="82" spans="1:39" ht="15" customHeight="1" outlineLevel="3">
      <c r="B82" s="48" t="s">
        <v>141</v>
      </c>
      <c r="C82" s="354"/>
      <c r="D82" s="356" t="s">
        <v>258</v>
      </c>
      <c r="E82" s="93">
        <f>0</f>
        <v>0</v>
      </c>
      <c r="F82" s="55">
        <f>0</f>
        <v>0</v>
      </c>
      <c r="G82" s="55">
        <f>0</f>
        <v>0</v>
      </c>
      <c r="H82" s="56">
        <f>0</f>
        <v>0</v>
      </c>
      <c r="I82" s="57">
        <f>1722684</f>
        <v>1722684</v>
      </c>
      <c r="J82" s="58">
        <f>1389181</f>
        <v>1389181</v>
      </c>
      <c r="K82" s="58">
        <f>0</f>
        <v>0</v>
      </c>
      <c r="L82" s="58">
        <f>0</f>
        <v>0</v>
      </c>
      <c r="M82" s="58">
        <f>0</f>
        <v>0</v>
      </c>
      <c r="N82" s="58">
        <f>0</f>
        <v>0</v>
      </c>
      <c r="O82" s="58">
        <f>0</f>
        <v>0</v>
      </c>
      <c r="P82" s="58">
        <f>0</f>
        <v>0</v>
      </c>
      <c r="Q82" s="58">
        <f>0</f>
        <v>0</v>
      </c>
      <c r="R82" s="58">
        <f>0</f>
        <v>0</v>
      </c>
      <c r="S82" s="58">
        <f>0</f>
        <v>0</v>
      </c>
      <c r="T82" s="58">
        <f>0</f>
        <v>0</v>
      </c>
      <c r="U82" s="58">
        <f>0</f>
        <v>0</v>
      </c>
      <c r="V82" s="58">
        <f>0</f>
        <v>0</v>
      </c>
      <c r="W82" s="58">
        <f>0</f>
        <v>0</v>
      </c>
      <c r="X82" s="58">
        <f>0</f>
        <v>0</v>
      </c>
      <c r="Y82" s="58">
        <f>0</f>
        <v>0</v>
      </c>
      <c r="Z82" s="58">
        <f>0</f>
        <v>0</v>
      </c>
      <c r="AA82" s="58">
        <f>0</f>
        <v>0</v>
      </c>
      <c r="AB82" s="58">
        <f>0</f>
        <v>0</v>
      </c>
      <c r="AC82" s="58">
        <f>0</f>
        <v>0</v>
      </c>
      <c r="AD82" s="58">
        <f>0</f>
        <v>0</v>
      </c>
      <c r="AE82" s="58">
        <f>0</f>
        <v>0</v>
      </c>
      <c r="AF82" s="58">
        <f>0</f>
        <v>0</v>
      </c>
      <c r="AG82" s="58">
        <f>0</f>
        <v>0</v>
      </c>
      <c r="AH82" s="58">
        <f>0</f>
        <v>0</v>
      </c>
      <c r="AI82" s="58">
        <f>0</f>
        <v>0</v>
      </c>
      <c r="AJ82" s="58">
        <f>0</f>
        <v>0</v>
      </c>
      <c r="AK82" s="58">
        <f>0</f>
        <v>0</v>
      </c>
      <c r="AL82" s="59">
        <f>0</f>
        <v>0</v>
      </c>
    </row>
    <row r="83" spans="1:39" ht="25.5" customHeight="1" outlineLevel="3">
      <c r="B83" s="48" t="s">
        <v>143</v>
      </c>
      <c r="C83" s="354"/>
      <c r="D83" s="356" t="s">
        <v>259</v>
      </c>
      <c r="E83" s="93">
        <f>0</f>
        <v>0</v>
      </c>
      <c r="F83" s="55">
        <f>0</f>
        <v>0</v>
      </c>
      <c r="G83" s="55">
        <f>0</f>
        <v>0</v>
      </c>
      <c r="H83" s="56">
        <f>0</f>
        <v>0</v>
      </c>
      <c r="I83" s="57">
        <f>508688.52</f>
        <v>508688.52</v>
      </c>
      <c r="J83" s="58">
        <f>0</f>
        <v>0</v>
      </c>
      <c r="K83" s="58">
        <f>0</f>
        <v>0</v>
      </c>
      <c r="L83" s="58">
        <f>0</f>
        <v>0</v>
      </c>
      <c r="M83" s="58">
        <f>0</f>
        <v>0</v>
      </c>
      <c r="N83" s="58">
        <f>0</f>
        <v>0</v>
      </c>
      <c r="O83" s="58">
        <f>0</f>
        <v>0</v>
      </c>
      <c r="P83" s="58">
        <f>0</f>
        <v>0</v>
      </c>
      <c r="Q83" s="58">
        <f>0</f>
        <v>0</v>
      </c>
      <c r="R83" s="58">
        <f>0</f>
        <v>0</v>
      </c>
      <c r="S83" s="58">
        <f>0</f>
        <v>0</v>
      </c>
      <c r="T83" s="58">
        <f>0</f>
        <v>0</v>
      </c>
      <c r="U83" s="58">
        <f>0</f>
        <v>0</v>
      </c>
      <c r="V83" s="58">
        <f>0</f>
        <v>0</v>
      </c>
      <c r="W83" s="58">
        <f>0</f>
        <v>0</v>
      </c>
      <c r="X83" s="58">
        <f>0</f>
        <v>0</v>
      </c>
      <c r="Y83" s="58">
        <f>0</f>
        <v>0</v>
      </c>
      <c r="Z83" s="58">
        <f>0</f>
        <v>0</v>
      </c>
      <c r="AA83" s="58">
        <f>0</f>
        <v>0</v>
      </c>
      <c r="AB83" s="58">
        <f>0</f>
        <v>0</v>
      </c>
      <c r="AC83" s="58">
        <f>0</f>
        <v>0</v>
      </c>
      <c r="AD83" s="58">
        <f>0</f>
        <v>0</v>
      </c>
      <c r="AE83" s="58">
        <f>0</f>
        <v>0</v>
      </c>
      <c r="AF83" s="58">
        <f>0</f>
        <v>0</v>
      </c>
      <c r="AG83" s="58">
        <f>0</f>
        <v>0</v>
      </c>
      <c r="AH83" s="58">
        <f>0</f>
        <v>0</v>
      </c>
      <c r="AI83" s="58">
        <f>0</f>
        <v>0</v>
      </c>
      <c r="AJ83" s="58">
        <f>0</f>
        <v>0</v>
      </c>
      <c r="AK83" s="58">
        <f>0</f>
        <v>0</v>
      </c>
      <c r="AL83" s="59">
        <f>0</f>
        <v>0</v>
      </c>
    </row>
    <row r="84" spans="1:39" ht="25.5" customHeight="1" outlineLevel="1">
      <c r="B84" s="47">
        <v>13</v>
      </c>
      <c r="C84" s="376"/>
      <c r="D84" s="352" t="s">
        <v>145</v>
      </c>
      <c r="E84" s="96" t="s">
        <v>31</v>
      </c>
      <c r="F84" s="69" t="s">
        <v>31</v>
      </c>
      <c r="G84" s="69" t="s">
        <v>31</v>
      </c>
      <c r="H84" s="70" t="s">
        <v>31</v>
      </c>
      <c r="I84" s="71" t="s">
        <v>31</v>
      </c>
      <c r="J84" s="72" t="s">
        <v>31</v>
      </c>
      <c r="K84" s="72" t="s">
        <v>31</v>
      </c>
      <c r="L84" s="72" t="s">
        <v>31</v>
      </c>
      <c r="M84" s="72" t="s">
        <v>31</v>
      </c>
      <c r="N84" s="72" t="s">
        <v>31</v>
      </c>
      <c r="O84" s="72" t="s">
        <v>31</v>
      </c>
      <c r="P84" s="72" t="s">
        <v>31</v>
      </c>
      <c r="Q84" s="72" t="s">
        <v>31</v>
      </c>
      <c r="R84" s="72" t="s">
        <v>31</v>
      </c>
      <c r="S84" s="72" t="s">
        <v>31</v>
      </c>
      <c r="T84" s="72" t="s">
        <v>31</v>
      </c>
      <c r="U84" s="72" t="s">
        <v>31</v>
      </c>
      <c r="V84" s="72" t="s">
        <v>31</v>
      </c>
      <c r="W84" s="72" t="s">
        <v>31</v>
      </c>
      <c r="X84" s="72" t="s">
        <v>31</v>
      </c>
      <c r="Y84" s="72" t="s">
        <v>31</v>
      </c>
      <c r="Z84" s="72" t="s">
        <v>31</v>
      </c>
      <c r="AA84" s="72" t="s">
        <v>31</v>
      </c>
      <c r="AB84" s="72" t="s">
        <v>31</v>
      </c>
      <c r="AC84" s="72" t="s">
        <v>31</v>
      </c>
      <c r="AD84" s="72" t="s">
        <v>31</v>
      </c>
      <c r="AE84" s="72" t="s">
        <v>31</v>
      </c>
      <c r="AF84" s="72" t="s">
        <v>31</v>
      </c>
      <c r="AG84" s="72" t="s">
        <v>31</v>
      </c>
      <c r="AH84" s="72" t="s">
        <v>31</v>
      </c>
      <c r="AI84" s="72" t="s">
        <v>31</v>
      </c>
      <c r="AJ84" s="72" t="s">
        <v>31</v>
      </c>
      <c r="AK84" s="72" t="s">
        <v>31</v>
      </c>
      <c r="AL84" s="73" t="s">
        <v>31</v>
      </c>
      <c r="AM84" s="43"/>
    </row>
    <row r="85" spans="1:39" ht="25.5" customHeight="1" outlineLevel="2">
      <c r="B85" s="48" t="s">
        <v>200</v>
      </c>
      <c r="C85" s="354"/>
      <c r="D85" s="355" t="s">
        <v>260</v>
      </c>
      <c r="E85" s="93">
        <f>0</f>
        <v>0</v>
      </c>
      <c r="F85" s="55">
        <f>0</f>
        <v>0</v>
      </c>
      <c r="G85" s="55">
        <f>0</f>
        <v>0</v>
      </c>
      <c r="H85" s="56">
        <f>0</f>
        <v>0</v>
      </c>
      <c r="I85" s="57">
        <f>0</f>
        <v>0</v>
      </c>
      <c r="J85" s="58">
        <f>0</f>
        <v>0</v>
      </c>
      <c r="K85" s="58">
        <f>0</f>
        <v>0</v>
      </c>
      <c r="L85" s="58">
        <f>0</f>
        <v>0</v>
      </c>
      <c r="M85" s="58">
        <f>0</f>
        <v>0</v>
      </c>
      <c r="N85" s="58">
        <f>0</f>
        <v>0</v>
      </c>
      <c r="O85" s="58">
        <f>0</f>
        <v>0</v>
      </c>
      <c r="P85" s="58">
        <f>0</f>
        <v>0</v>
      </c>
      <c r="Q85" s="58">
        <f>0</f>
        <v>0</v>
      </c>
      <c r="R85" s="58">
        <f>0</f>
        <v>0</v>
      </c>
      <c r="S85" s="58">
        <f>0</f>
        <v>0</v>
      </c>
      <c r="T85" s="58">
        <f>0</f>
        <v>0</v>
      </c>
      <c r="U85" s="58">
        <f>0</f>
        <v>0</v>
      </c>
      <c r="V85" s="58">
        <f>0</f>
        <v>0</v>
      </c>
      <c r="W85" s="58">
        <f>0</f>
        <v>0</v>
      </c>
      <c r="X85" s="58">
        <f>0</f>
        <v>0</v>
      </c>
      <c r="Y85" s="58">
        <f>0</f>
        <v>0</v>
      </c>
      <c r="Z85" s="58">
        <f>0</f>
        <v>0</v>
      </c>
      <c r="AA85" s="58">
        <f>0</f>
        <v>0</v>
      </c>
      <c r="AB85" s="58">
        <f>0</f>
        <v>0</v>
      </c>
      <c r="AC85" s="58">
        <f>0</f>
        <v>0</v>
      </c>
      <c r="AD85" s="58">
        <f>0</f>
        <v>0</v>
      </c>
      <c r="AE85" s="58">
        <f>0</f>
        <v>0</v>
      </c>
      <c r="AF85" s="58">
        <f>0</f>
        <v>0</v>
      </c>
      <c r="AG85" s="58">
        <f>0</f>
        <v>0</v>
      </c>
      <c r="AH85" s="58">
        <f>0</f>
        <v>0</v>
      </c>
      <c r="AI85" s="58">
        <f>0</f>
        <v>0</v>
      </c>
      <c r="AJ85" s="58">
        <f>0</f>
        <v>0</v>
      </c>
      <c r="AK85" s="58">
        <f>0</f>
        <v>0</v>
      </c>
      <c r="AL85" s="59">
        <f>0</f>
        <v>0</v>
      </c>
    </row>
    <row r="86" spans="1:39" ht="25.5" customHeight="1" outlineLevel="2">
      <c r="B86" s="48" t="s">
        <v>201</v>
      </c>
      <c r="C86" s="354"/>
      <c r="D86" s="355" t="s">
        <v>462</v>
      </c>
      <c r="E86" s="93">
        <f>0</f>
        <v>0</v>
      </c>
      <c r="F86" s="55">
        <f>0</f>
        <v>0</v>
      </c>
      <c r="G86" s="55">
        <f>0</f>
        <v>0</v>
      </c>
      <c r="H86" s="56">
        <f>0</f>
        <v>0</v>
      </c>
      <c r="I86" s="57">
        <f>0</f>
        <v>0</v>
      </c>
      <c r="J86" s="58">
        <f>0</f>
        <v>0</v>
      </c>
      <c r="K86" s="58">
        <f>0</f>
        <v>0</v>
      </c>
      <c r="L86" s="58">
        <f>0</f>
        <v>0</v>
      </c>
      <c r="M86" s="58">
        <f>0</f>
        <v>0</v>
      </c>
      <c r="N86" s="58">
        <f>0</f>
        <v>0</v>
      </c>
      <c r="O86" s="58">
        <f>0</f>
        <v>0</v>
      </c>
      <c r="P86" s="58">
        <f>0</f>
        <v>0</v>
      </c>
      <c r="Q86" s="58">
        <f>0</f>
        <v>0</v>
      </c>
      <c r="R86" s="58">
        <f>0</f>
        <v>0</v>
      </c>
      <c r="S86" s="58">
        <f>0</f>
        <v>0</v>
      </c>
      <c r="T86" s="58">
        <f>0</f>
        <v>0</v>
      </c>
      <c r="U86" s="58">
        <f>0</f>
        <v>0</v>
      </c>
      <c r="V86" s="58">
        <f>0</f>
        <v>0</v>
      </c>
      <c r="W86" s="58">
        <f>0</f>
        <v>0</v>
      </c>
      <c r="X86" s="58">
        <f>0</f>
        <v>0</v>
      </c>
      <c r="Y86" s="58">
        <f>0</f>
        <v>0</v>
      </c>
      <c r="Z86" s="58">
        <f>0</f>
        <v>0</v>
      </c>
      <c r="AA86" s="58">
        <f>0</f>
        <v>0</v>
      </c>
      <c r="AB86" s="58">
        <f>0</f>
        <v>0</v>
      </c>
      <c r="AC86" s="58">
        <f>0</f>
        <v>0</v>
      </c>
      <c r="AD86" s="58">
        <f>0</f>
        <v>0</v>
      </c>
      <c r="AE86" s="58">
        <f>0</f>
        <v>0</v>
      </c>
      <c r="AF86" s="58">
        <f>0</f>
        <v>0</v>
      </c>
      <c r="AG86" s="58">
        <f>0</f>
        <v>0</v>
      </c>
      <c r="AH86" s="58">
        <f>0</f>
        <v>0</v>
      </c>
      <c r="AI86" s="58">
        <f>0</f>
        <v>0</v>
      </c>
      <c r="AJ86" s="58">
        <f>0</f>
        <v>0</v>
      </c>
      <c r="AK86" s="58">
        <f>0</f>
        <v>0</v>
      </c>
      <c r="AL86" s="59">
        <f>0</f>
        <v>0</v>
      </c>
    </row>
    <row r="87" spans="1:39" ht="25.5" customHeight="1" outlineLevel="2">
      <c r="B87" s="48" t="s">
        <v>202</v>
      </c>
      <c r="C87" s="354"/>
      <c r="D87" s="355" t="s">
        <v>261</v>
      </c>
      <c r="E87" s="93">
        <f>0</f>
        <v>0</v>
      </c>
      <c r="F87" s="55">
        <f>0</f>
        <v>0</v>
      </c>
      <c r="G87" s="55">
        <f>0</f>
        <v>0</v>
      </c>
      <c r="H87" s="56">
        <f>0</f>
        <v>0</v>
      </c>
      <c r="I87" s="57">
        <f>0</f>
        <v>0</v>
      </c>
      <c r="J87" s="58">
        <f>0</f>
        <v>0</v>
      </c>
      <c r="K87" s="58">
        <f>0</f>
        <v>0</v>
      </c>
      <c r="L87" s="58">
        <f>0</f>
        <v>0</v>
      </c>
      <c r="M87" s="58">
        <f>0</f>
        <v>0</v>
      </c>
      <c r="N87" s="58">
        <f>0</f>
        <v>0</v>
      </c>
      <c r="O87" s="58">
        <f>0</f>
        <v>0</v>
      </c>
      <c r="P87" s="58">
        <f>0</f>
        <v>0</v>
      </c>
      <c r="Q87" s="58">
        <f>0</f>
        <v>0</v>
      </c>
      <c r="R87" s="58">
        <f>0</f>
        <v>0</v>
      </c>
      <c r="S87" s="58">
        <f>0</f>
        <v>0</v>
      </c>
      <c r="T87" s="58">
        <f>0</f>
        <v>0</v>
      </c>
      <c r="U87" s="58">
        <f>0</f>
        <v>0</v>
      </c>
      <c r="V87" s="58">
        <f>0</f>
        <v>0</v>
      </c>
      <c r="W87" s="58">
        <f>0</f>
        <v>0</v>
      </c>
      <c r="X87" s="58">
        <f>0</f>
        <v>0</v>
      </c>
      <c r="Y87" s="58">
        <f>0</f>
        <v>0</v>
      </c>
      <c r="Z87" s="58">
        <f>0</f>
        <v>0</v>
      </c>
      <c r="AA87" s="58">
        <f>0</f>
        <v>0</v>
      </c>
      <c r="AB87" s="58">
        <f>0</f>
        <v>0</v>
      </c>
      <c r="AC87" s="58">
        <f>0</f>
        <v>0</v>
      </c>
      <c r="AD87" s="58">
        <f>0</f>
        <v>0</v>
      </c>
      <c r="AE87" s="58">
        <f>0</f>
        <v>0</v>
      </c>
      <c r="AF87" s="58">
        <f>0</f>
        <v>0</v>
      </c>
      <c r="AG87" s="58">
        <f>0</f>
        <v>0</v>
      </c>
      <c r="AH87" s="58">
        <f>0</f>
        <v>0</v>
      </c>
      <c r="AI87" s="58">
        <f>0</f>
        <v>0</v>
      </c>
      <c r="AJ87" s="58">
        <f>0</f>
        <v>0</v>
      </c>
      <c r="AK87" s="58">
        <f>0</f>
        <v>0</v>
      </c>
      <c r="AL87" s="59">
        <f>0</f>
        <v>0</v>
      </c>
    </row>
    <row r="88" spans="1:39" ht="25.5" customHeight="1" outlineLevel="2">
      <c r="B88" s="48" t="s">
        <v>203</v>
      </c>
      <c r="C88" s="354"/>
      <c r="D88" s="355" t="s">
        <v>463</v>
      </c>
      <c r="E88" s="93">
        <f>0</f>
        <v>0</v>
      </c>
      <c r="F88" s="55">
        <f>0</f>
        <v>0</v>
      </c>
      <c r="G88" s="55">
        <f>0</f>
        <v>0</v>
      </c>
      <c r="H88" s="56">
        <f>0</f>
        <v>0</v>
      </c>
      <c r="I88" s="57">
        <f>0</f>
        <v>0</v>
      </c>
      <c r="J88" s="58">
        <f>0</f>
        <v>0</v>
      </c>
      <c r="K88" s="58">
        <f>0</f>
        <v>0</v>
      </c>
      <c r="L88" s="58">
        <f>0</f>
        <v>0</v>
      </c>
      <c r="M88" s="58">
        <f>0</f>
        <v>0</v>
      </c>
      <c r="N88" s="58">
        <f>0</f>
        <v>0</v>
      </c>
      <c r="O88" s="58">
        <f>0</f>
        <v>0</v>
      </c>
      <c r="P88" s="58">
        <f>0</f>
        <v>0</v>
      </c>
      <c r="Q88" s="58">
        <f>0</f>
        <v>0</v>
      </c>
      <c r="R88" s="58">
        <f>0</f>
        <v>0</v>
      </c>
      <c r="S88" s="58">
        <f>0</f>
        <v>0</v>
      </c>
      <c r="T88" s="58">
        <f>0</f>
        <v>0</v>
      </c>
      <c r="U88" s="58">
        <f>0</f>
        <v>0</v>
      </c>
      <c r="V88" s="58">
        <f>0</f>
        <v>0</v>
      </c>
      <c r="W88" s="58">
        <f>0</f>
        <v>0</v>
      </c>
      <c r="X88" s="58">
        <f>0</f>
        <v>0</v>
      </c>
      <c r="Y88" s="58">
        <f>0</f>
        <v>0</v>
      </c>
      <c r="Z88" s="58">
        <f>0</f>
        <v>0</v>
      </c>
      <c r="AA88" s="58">
        <f>0</f>
        <v>0</v>
      </c>
      <c r="AB88" s="58">
        <f>0</f>
        <v>0</v>
      </c>
      <c r="AC88" s="58">
        <f>0</f>
        <v>0</v>
      </c>
      <c r="AD88" s="58">
        <f>0</f>
        <v>0</v>
      </c>
      <c r="AE88" s="58">
        <f>0</f>
        <v>0</v>
      </c>
      <c r="AF88" s="58">
        <f>0</f>
        <v>0</v>
      </c>
      <c r="AG88" s="58">
        <f>0</f>
        <v>0</v>
      </c>
      <c r="AH88" s="58">
        <f>0</f>
        <v>0</v>
      </c>
      <c r="AI88" s="58">
        <f>0</f>
        <v>0</v>
      </c>
      <c r="AJ88" s="58">
        <f>0</f>
        <v>0</v>
      </c>
      <c r="AK88" s="58">
        <f>0</f>
        <v>0</v>
      </c>
      <c r="AL88" s="59">
        <f>0</f>
        <v>0</v>
      </c>
    </row>
    <row r="89" spans="1:39" ht="25.5" customHeight="1" outlineLevel="2">
      <c r="B89" s="48" t="s">
        <v>204</v>
      </c>
      <c r="C89" s="354"/>
      <c r="D89" s="355" t="s">
        <v>464</v>
      </c>
      <c r="E89" s="93">
        <f>0</f>
        <v>0</v>
      </c>
      <c r="F89" s="55">
        <f>0</f>
        <v>0</v>
      </c>
      <c r="G89" s="55">
        <f>0</f>
        <v>0</v>
      </c>
      <c r="H89" s="56">
        <f>0</f>
        <v>0</v>
      </c>
      <c r="I89" s="57">
        <f>0</f>
        <v>0</v>
      </c>
      <c r="J89" s="58">
        <f>0</f>
        <v>0</v>
      </c>
      <c r="K89" s="58">
        <f>0</f>
        <v>0</v>
      </c>
      <c r="L89" s="58">
        <f>0</f>
        <v>0</v>
      </c>
      <c r="M89" s="58">
        <f>0</f>
        <v>0</v>
      </c>
      <c r="N89" s="58">
        <f>0</f>
        <v>0</v>
      </c>
      <c r="O89" s="58">
        <f>0</f>
        <v>0</v>
      </c>
      <c r="P89" s="58">
        <f>0</f>
        <v>0</v>
      </c>
      <c r="Q89" s="58">
        <f>0</f>
        <v>0</v>
      </c>
      <c r="R89" s="58">
        <f>0</f>
        <v>0</v>
      </c>
      <c r="S89" s="58">
        <f>0</f>
        <v>0</v>
      </c>
      <c r="T89" s="58">
        <f>0</f>
        <v>0</v>
      </c>
      <c r="U89" s="58">
        <f>0</f>
        <v>0</v>
      </c>
      <c r="V89" s="58">
        <f>0</f>
        <v>0</v>
      </c>
      <c r="W89" s="58">
        <f>0</f>
        <v>0</v>
      </c>
      <c r="X89" s="58">
        <f>0</f>
        <v>0</v>
      </c>
      <c r="Y89" s="58">
        <f>0</f>
        <v>0</v>
      </c>
      <c r="Z89" s="58">
        <f>0</f>
        <v>0</v>
      </c>
      <c r="AA89" s="58">
        <f>0</f>
        <v>0</v>
      </c>
      <c r="AB89" s="58">
        <f>0</f>
        <v>0</v>
      </c>
      <c r="AC89" s="58">
        <f>0</f>
        <v>0</v>
      </c>
      <c r="AD89" s="58">
        <f>0</f>
        <v>0</v>
      </c>
      <c r="AE89" s="58">
        <f>0</f>
        <v>0</v>
      </c>
      <c r="AF89" s="58">
        <f>0</f>
        <v>0</v>
      </c>
      <c r="AG89" s="58">
        <f>0</f>
        <v>0</v>
      </c>
      <c r="AH89" s="58">
        <f>0</f>
        <v>0</v>
      </c>
      <c r="AI89" s="58">
        <f>0</f>
        <v>0</v>
      </c>
      <c r="AJ89" s="58">
        <f>0</f>
        <v>0</v>
      </c>
      <c r="AK89" s="58">
        <f>0</f>
        <v>0</v>
      </c>
      <c r="AL89" s="59">
        <f>0</f>
        <v>0</v>
      </c>
    </row>
    <row r="90" spans="1:39" ht="25.5" customHeight="1" outlineLevel="2">
      <c r="B90" s="48" t="s">
        <v>205</v>
      </c>
      <c r="C90" s="354"/>
      <c r="D90" s="355" t="s">
        <v>262</v>
      </c>
      <c r="E90" s="93">
        <f>0</f>
        <v>0</v>
      </c>
      <c r="F90" s="55">
        <f>0</f>
        <v>0</v>
      </c>
      <c r="G90" s="55">
        <f>0</f>
        <v>0</v>
      </c>
      <c r="H90" s="56">
        <f>0</f>
        <v>0</v>
      </c>
      <c r="I90" s="57">
        <f>0</f>
        <v>0</v>
      </c>
      <c r="J90" s="58">
        <f>0</f>
        <v>0</v>
      </c>
      <c r="K90" s="58">
        <f>0</f>
        <v>0</v>
      </c>
      <c r="L90" s="58">
        <f>0</f>
        <v>0</v>
      </c>
      <c r="M90" s="58">
        <f>0</f>
        <v>0</v>
      </c>
      <c r="N90" s="58">
        <f>0</f>
        <v>0</v>
      </c>
      <c r="O90" s="58">
        <f>0</f>
        <v>0</v>
      </c>
      <c r="P90" s="58">
        <f>0</f>
        <v>0</v>
      </c>
      <c r="Q90" s="58">
        <f>0</f>
        <v>0</v>
      </c>
      <c r="R90" s="58">
        <f>0</f>
        <v>0</v>
      </c>
      <c r="S90" s="58">
        <f>0</f>
        <v>0</v>
      </c>
      <c r="T90" s="58">
        <f>0</f>
        <v>0</v>
      </c>
      <c r="U90" s="58">
        <f>0</f>
        <v>0</v>
      </c>
      <c r="V90" s="58">
        <f>0</f>
        <v>0</v>
      </c>
      <c r="W90" s="58">
        <f>0</f>
        <v>0</v>
      </c>
      <c r="X90" s="58">
        <f>0</f>
        <v>0</v>
      </c>
      <c r="Y90" s="58">
        <f>0</f>
        <v>0</v>
      </c>
      <c r="Z90" s="58">
        <f>0</f>
        <v>0</v>
      </c>
      <c r="AA90" s="58">
        <f>0</f>
        <v>0</v>
      </c>
      <c r="AB90" s="58">
        <f>0</f>
        <v>0</v>
      </c>
      <c r="AC90" s="58">
        <f>0</f>
        <v>0</v>
      </c>
      <c r="AD90" s="58">
        <f>0</f>
        <v>0</v>
      </c>
      <c r="AE90" s="58">
        <f>0</f>
        <v>0</v>
      </c>
      <c r="AF90" s="58">
        <f>0</f>
        <v>0</v>
      </c>
      <c r="AG90" s="58">
        <f>0</f>
        <v>0</v>
      </c>
      <c r="AH90" s="58">
        <f>0</f>
        <v>0</v>
      </c>
      <c r="AI90" s="58">
        <f>0</f>
        <v>0</v>
      </c>
      <c r="AJ90" s="58">
        <f>0</f>
        <v>0</v>
      </c>
      <c r="AK90" s="58">
        <f>0</f>
        <v>0</v>
      </c>
      <c r="AL90" s="59">
        <f>0</f>
        <v>0</v>
      </c>
    </row>
    <row r="91" spans="1:39" ht="25.5" customHeight="1" outlineLevel="2">
      <c r="B91" s="48" t="s">
        <v>206</v>
      </c>
      <c r="C91" s="354"/>
      <c r="D91" s="355" t="s">
        <v>263</v>
      </c>
      <c r="E91" s="93">
        <f>0</f>
        <v>0</v>
      </c>
      <c r="F91" s="55">
        <f>0</f>
        <v>0</v>
      </c>
      <c r="G91" s="55">
        <f>0</f>
        <v>0</v>
      </c>
      <c r="H91" s="56">
        <f>0</f>
        <v>0</v>
      </c>
      <c r="I91" s="57">
        <f>0</f>
        <v>0</v>
      </c>
      <c r="J91" s="58">
        <f>0</f>
        <v>0</v>
      </c>
      <c r="K91" s="58">
        <f>0</f>
        <v>0</v>
      </c>
      <c r="L91" s="58">
        <f>0</f>
        <v>0</v>
      </c>
      <c r="M91" s="58">
        <f>0</f>
        <v>0</v>
      </c>
      <c r="N91" s="58">
        <f>0</f>
        <v>0</v>
      </c>
      <c r="O91" s="58">
        <f>0</f>
        <v>0</v>
      </c>
      <c r="P91" s="58">
        <f>0</f>
        <v>0</v>
      </c>
      <c r="Q91" s="58">
        <f>0</f>
        <v>0</v>
      </c>
      <c r="R91" s="58">
        <f>0</f>
        <v>0</v>
      </c>
      <c r="S91" s="58">
        <f>0</f>
        <v>0</v>
      </c>
      <c r="T91" s="58">
        <f>0</f>
        <v>0</v>
      </c>
      <c r="U91" s="58">
        <f>0</f>
        <v>0</v>
      </c>
      <c r="V91" s="58">
        <f>0</f>
        <v>0</v>
      </c>
      <c r="W91" s="58">
        <f>0</f>
        <v>0</v>
      </c>
      <c r="X91" s="58">
        <f>0</f>
        <v>0</v>
      </c>
      <c r="Y91" s="58">
        <f>0</f>
        <v>0</v>
      </c>
      <c r="Z91" s="58">
        <f>0</f>
        <v>0</v>
      </c>
      <c r="AA91" s="58">
        <f>0</f>
        <v>0</v>
      </c>
      <c r="AB91" s="58">
        <f>0</f>
        <v>0</v>
      </c>
      <c r="AC91" s="58">
        <f>0</f>
        <v>0</v>
      </c>
      <c r="AD91" s="58">
        <f>0</f>
        <v>0</v>
      </c>
      <c r="AE91" s="58">
        <f>0</f>
        <v>0</v>
      </c>
      <c r="AF91" s="58">
        <f>0</f>
        <v>0</v>
      </c>
      <c r="AG91" s="58">
        <f>0</f>
        <v>0</v>
      </c>
      <c r="AH91" s="58">
        <f>0</f>
        <v>0</v>
      </c>
      <c r="AI91" s="58">
        <f>0</f>
        <v>0</v>
      </c>
      <c r="AJ91" s="58">
        <f>0</f>
        <v>0</v>
      </c>
      <c r="AK91" s="58">
        <f>0</f>
        <v>0</v>
      </c>
      <c r="AL91" s="59">
        <f>0</f>
        <v>0</v>
      </c>
    </row>
    <row r="92" spans="1:39" ht="15" customHeight="1" outlineLevel="1">
      <c r="A92" s="375" t="s">
        <v>31</v>
      </c>
      <c r="B92" s="47">
        <v>14</v>
      </c>
      <c r="C92" s="376"/>
      <c r="D92" s="353" t="s">
        <v>153</v>
      </c>
      <c r="E92" s="96" t="s">
        <v>31</v>
      </c>
      <c r="F92" s="69" t="s">
        <v>31</v>
      </c>
      <c r="G92" s="69" t="s">
        <v>31</v>
      </c>
      <c r="H92" s="70" t="s">
        <v>31</v>
      </c>
      <c r="I92" s="71" t="s">
        <v>31</v>
      </c>
      <c r="J92" s="72" t="s">
        <v>31</v>
      </c>
      <c r="K92" s="72" t="s">
        <v>31</v>
      </c>
      <c r="L92" s="72" t="s">
        <v>31</v>
      </c>
      <c r="M92" s="72" t="s">
        <v>31</v>
      </c>
      <c r="N92" s="72" t="s">
        <v>31</v>
      </c>
      <c r="O92" s="72" t="s">
        <v>31</v>
      </c>
      <c r="P92" s="72" t="s">
        <v>31</v>
      </c>
      <c r="Q92" s="72" t="s">
        <v>31</v>
      </c>
      <c r="R92" s="72" t="s">
        <v>31</v>
      </c>
      <c r="S92" s="72" t="s">
        <v>31</v>
      </c>
      <c r="T92" s="72" t="s">
        <v>31</v>
      </c>
      <c r="U92" s="72" t="s">
        <v>31</v>
      </c>
      <c r="V92" s="72" t="s">
        <v>31</v>
      </c>
      <c r="W92" s="72" t="s">
        <v>31</v>
      </c>
      <c r="X92" s="72" t="s">
        <v>31</v>
      </c>
      <c r="Y92" s="72" t="s">
        <v>31</v>
      </c>
      <c r="Z92" s="72" t="s">
        <v>31</v>
      </c>
      <c r="AA92" s="72" t="s">
        <v>31</v>
      </c>
      <c r="AB92" s="72" t="s">
        <v>31</v>
      </c>
      <c r="AC92" s="72" t="s">
        <v>31</v>
      </c>
      <c r="AD92" s="72" t="s">
        <v>31</v>
      </c>
      <c r="AE92" s="72" t="s">
        <v>31</v>
      </c>
      <c r="AF92" s="72" t="s">
        <v>31</v>
      </c>
      <c r="AG92" s="72" t="s">
        <v>31</v>
      </c>
      <c r="AH92" s="72" t="s">
        <v>31</v>
      </c>
      <c r="AI92" s="72" t="s">
        <v>31</v>
      </c>
      <c r="AJ92" s="72" t="s">
        <v>31</v>
      </c>
      <c r="AK92" s="72" t="s">
        <v>31</v>
      </c>
      <c r="AL92" s="73" t="s">
        <v>31</v>
      </c>
      <c r="AM92" s="43"/>
    </row>
    <row r="93" spans="1:39" ht="25.5" customHeight="1" outlineLevel="2">
      <c r="A93" s="375" t="s">
        <v>31</v>
      </c>
      <c r="B93" s="48" t="s">
        <v>207</v>
      </c>
      <c r="C93" s="354"/>
      <c r="D93" s="355" t="s">
        <v>264</v>
      </c>
      <c r="E93" s="93">
        <f>0</f>
        <v>0</v>
      </c>
      <c r="F93" s="55">
        <f>0</f>
        <v>0</v>
      </c>
      <c r="G93" s="55">
        <f>0</f>
        <v>0</v>
      </c>
      <c r="H93" s="56">
        <f>0</f>
        <v>0</v>
      </c>
      <c r="I93" s="57">
        <f>2105000</f>
        <v>2105000</v>
      </c>
      <c r="J93" s="58">
        <f>500000</f>
        <v>500000</v>
      </c>
      <c r="K93" s="58">
        <f>100000</f>
        <v>100000</v>
      </c>
      <c r="L93" s="58">
        <f>400000</f>
        <v>400000</v>
      </c>
      <c r="M93" s="58">
        <f>600000</f>
        <v>600000</v>
      </c>
      <c r="N93" s="58">
        <f>600000</f>
        <v>600000</v>
      </c>
      <c r="O93" s="58">
        <f>1200000</f>
        <v>1200000</v>
      </c>
      <c r="P93" s="58">
        <f>1300000</f>
        <v>1300000</v>
      </c>
      <c r="Q93" s="58">
        <f>1200000</f>
        <v>1200000</v>
      </c>
      <c r="R93" s="58">
        <f>1330000</f>
        <v>1330000</v>
      </c>
      <c r="S93" s="58">
        <f>1510000</f>
        <v>1510000</v>
      </c>
      <c r="T93" s="58">
        <f>1548000</f>
        <v>1548000</v>
      </c>
      <c r="U93" s="58">
        <f>0</f>
        <v>0</v>
      </c>
      <c r="V93" s="58">
        <f>0</f>
        <v>0</v>
      </c>
      <c r="W93" s="58">
        <f>0</f>
        <v>0</v>
      </c>
      <c r="X93" s="58">
        <f>0</f>
        <v>0</v>
      </c>
      <c r="Y93" s="58">
        <f>0</f>
        <v>0</v>
      </c>
      <c r="Z93" s="58">
        <f>0</f>
        <v>0</v>
      </c>
      <c r="AA93" s="58">
        <f>0</f>
        <v>0</v>
      </c>
      <c r="AB93" s="58">
        <f>0</f>
        <v>0</v>
      </c>
      <c r="AC93" s="58">
        <f>0</f>
        <v>0</v>
      </c>
      <c r="AD93" s="58">
        <f>0</f>
        <v>0</v>
      </c>
      <c r="AE93" s="58">
        <f>0</f>
        <v>0</v>
      </c>
      <c r="AF93" s="58">
        <f>0</f>
        <v>0</v>
      </c>
      <c r="AG93" s="58">
        <f>0</f>
        <v>0</v>
      </c>
      <c r="AH93" s="58">
        <f>0</f>
        <v>0</v>
      </c>
      <c r="AI93" s="58">
        <f>0</f>
        <v>0</v>
      </c>
      <c r="AJ93" s="58">
        <f>0</f>
        <v>0</v>
      </c>
      <c r="AK93" s="58">
        <f>0</f>
        <v>0</v>
      </c>
      <c r="AL93" s="59">
        <f>0</f>
        <v>0</v>
      </c>
    </row>
    <row r="94" spans="1:39" ht="15" customHeight="1" outlineLevel="2">
      <c r="A94" s="375" t="s">
        <v>31</v>
      </c>
      <c r="B94" s="48" t="s">
        <v>208</v>
      </c>
      <c r="C94" s="354"/>
      <c r="D94" s="355" t="s">
        <v>265</v>
      </c>
      <c r="E94" s="93">
        <f>0</f>
        <v>0</v>
      </c>
      <c r="F94" s="55">
        <f>0</f>
        <v>0</v>
      </c>
      <c r="G94" s="55">
        <f>29550</f>
        <v>29550</v>
      </c>
      <c r="H94" s="56">
        <f>49550</f>
        <v>49550</v>
      </c>
      <c r="I94" s="57">
        <f>19700</f>
        <v>19700</v>
      </c>
      <c r="J94" s="58">
        <f>9850</f>
        <v>9850</v>
      </c>
      <c r="K94" s="58">
        <f>0</f>
        <v>0</v>
      </c>
      <c r="L94" s="58">
        <f>0</f>
        <v>0</v>
      </c>
      <c r="M94" s="58">
        <f>0</f>
        <v>0</v>
      </c>
      <c r="N94" s="58">
        <f>0</f>
        <v>0</v>
      </c>
      <c r="O94" s="58">
        <f>0</f>
        <v>0</v>
      </c>
      <c r="P94" s="58">
        <f>0</f>
        <v>0</v>
      </c>
      <c r="Q94" s="58">
        <f>0</f>
        <v>0</v>
      </c>
      <c r="R94" s="58">
        <f>0</f>
        <v>0</v>
      </c>
      <c r="S94" s="58">
        <f>0</f>
        <v>0</v>
      </c>
      <c r="T94" s="58">
        <f>0</f>
        <v>0</v>
      </c>
      <c r="U94" s="58">
        <f>0</f>
        <v>0</v>
      </c>
      <c r="V94" s="58">
        <f>0</f>
        <v>0</v>
      </c>
      <c r="W94" s="58">
        <f>0</f>
        <v>0</v>
      </c>
      <c r="X94" s="58">
        <f>0</f>
        <v>0</v>
      </c>
      <c r="Y94" s="58">
        <f>0</f>
        <v>0</v>
      </c>
      <c r="Z94" s="58">
        <f>0</f>
        <v>0</v>
      </c>
      <c r="AA94" s="58">
        <f>0</f>
        <v>0</v>
      </c>
      <c r="AB94" s="58">
        <f>0</f>
        <v>0</v>
      </c>
      <c r="AC94" s="58">
        <f>0</f>
        <v>0</v>
      </c>
      <c r="AD94" s="58">
        <f>0</f>
        <v>0</v>
      </c>
      <c r="AE94" s="58">
        <f>0</f>
        <v>0</v>
      </c>
      <c r="AF94" s="58">
        <f>0</f>
        <v>0</v>
      </c>
      <c r="AG94" s="58">
        <f>0</f>
        <v>0</v>
      </c>
      <c r="AH94" s="58">
        <f>0</f>
        <v>0</v>
      </c>
      <c r="AI94" s="58">
        <f>0</f>
        <v>0</v>
      </c>
      <c r="AJ94" s="58">
        <f>0</f>
        <v>0</v>
      </c>
      <c r="AK94" s="58">
        <f>0</f>
        <v>0</v>
      </c>
      <c r="AL94" s="59">
        <f>0</f>
        <v>0</v>
      </c>
    </row>
    <row r="95" spans="1:39" ht="15" customHeight="1" outlineLevel="2">
      <c r="A95" s="375" t="s">
        <v>31</v>
      </c>
      <c r="B95" s="48" t="s">
        <v>209</v>
      </c>
      <c r="C95" s="354"/>
      <c r="D95" s="355" t="s">
        <v>267</v>
      </c>
      <c r="E95" s="93">
        <f>0</f>
        <v>0</v>
      </c>
      <c r="F95" s="55">
        <f>0</f>
        <v>0</v>
      </c>
      <c r="G95" s="55">
        <f>9850</f>
        <v>9850</v>
      </c>
      <c r="H95" s="56">
        <f>29850</f>
        <v>29850</v>
      </c>
      <c r="I95" s="57">
        <f>29850</f>
        <v>29850</v>
      </c>
      <c r="J95" s="58">
        <f>9850</f>
        <v>9850</v>
      </c>
      <c r="K95" s="58">
        <f>9850</f>
        <v>9850</v>
      </c>
      <c r="L95" s="58">
        <f>0</f>
        <v>0</v>
      </c>
      <c r="M95" s="58">
        <f>0</f>
        <v>0</v>
      </c>
      <c r="N95" s="58">
        <f>0</f>
        <v>0</v>
      </c>
      <c r="O95" s="58">
        <f>0</f>
        <v>0</v>
      </c>
      <c r="P95" s="58">
        <f>0</f>
        <v>0</v>
      </c>
      <c r="Q95" s="58">
        <f>0</f>
        <v>0</v>
      </c>
      <c r="R95" s="58">
        <f>0</f>
        <v>0</v>
      </c>
      <c r="S95" s="58">
        <f>0</f>
        <v>0</v>
      </c>
      <c r="T95" s="58">
        <f>0</f>
        <v>0</v>
      </c>
      <c r="U95" s="58">
        <f>0</f>
        <v>0</v>
      </c>
      <c r="V95" s="58">
        <f>0</f>
        <v>0</v>
      </c>
      <c r="W95" s="58">
        <f>0</f>
        <v>0</v>
      </c>
      <c r="X95" s="58">
        <f>0</f>
        <v>0</v>
      </c>
      <c r="Y95" s="58">
        <f>0</f>
        <v>0</v>
      </c>
      <c r="Z95" s="58">
        <f>0</f>
        <v>0</v>
      </c>
      <c r="AA95" s="58">
        <f>0</f>
        <v>0</v>
      </c>
      <c r="AB95" s="58">
        <f>0</f>
        <v>0</v>
      </c>
      <c r="AC95" s="58">
        <f>0</f>
        <v>0</v>
      </c>
      <c r="AD95" s="58">
        <f>0</f>
        <v>0</v>
      </c>
      <c r="AE95" s="58">
        <f>0</f>
        <v>0</v>
      </c>
      <c r="AF95" s="58">
        <f>0</f>
        <v>0</v>
      </c>
      <c r="AG95" s="58">
        <f>0</f>
        <v>0</v>
      </c>
      <c r="AH95" s="58">
        <f>0</f>
        <v>0</v>
      </c>
      <c r="AI95" s="58">
        <f>0</f>
        <v>0</v>
      </c>
      <c r="AJ95" s="58">
        <f>0</f>
        <v>0</v>
      </c>
      <c r="AK95" s="58">
        <f>0</f>
        <v>0</v>
      </c>
      <c r="AL95" s="59">
        <f>0</f>
        <v>0</v>
      </c>
    </row>
    <row r="96" spans="1:39" ht="15" customHeight="1" outlineLevel="3">
      <c r="A96" s="375" t="s">
        <v>31</v>
      </c>
      <c r="B96" s="48" t="s">
        <v>157</v>
      </c>
      <c r="C96" s="354"/>
      <c r="D96" s="356" t="s">
        <v>266</v>
      </c>
      <c r="E96" s="93">
        <f>0</f>
        <v>0</v>
      </c>
      <c r="F96" s="55">
        <f>0</f>
        <v>0</v>
      </c>
      <c r="G96" s="55">
        <f>0</f>
        <v>0</v>
      </c>
      <c r="H96" s="56">
        <f>0</f>
        <v>0</v>
      </c>
      <c r="I96" s="57">
        <f>20000</f>
        <v>20000</v>
      </c>
      <c r="J96" s="58">
        <f>0</f>
        <v>0</v>
      </c>
      <c r="K96" s="58">
        <f>0</f>
        <v>0</v>
      </c>
      <c r="L96" s="58">
        <f>0</f>
        <v>0</v>
      </c>
      <c r="M96" s="58">
        <f>0</f>
        <v>0</v>
      </c>
      <c r="N96" s="58">
        <f>0</f>
        <v>0</v>
      </c>
      <c r="O96" s="58">
        <f>0</f>
        <v>0</v>
      </c>
      <c r="P96" s="58">
        <f>0</f>
        <v>0</v>
      </c>
      <c r="Q96" s="58">
        <f>0</f>
        <v>0</v>
      </c>
      <c r="R96" s="58">
        <f>0</f>
        <v>0</v>
      </c>
      <c r="S96" s="58">
        <f>0</f>
        <v>0</v>
      </c>
      <c r="T96" s="58">
        <f>0</f>
        <v>0</v>
      </c>
      <c r="U96" s="58">
        <f>0</f>
        <v>0</v>
      </c>
      <c r="V96" s="58">
        <f>0</f>
        <v>0</v>
      </c>
      <c r="W96" s="58">
        <f>0</f>
        <v>0</v>
      </c>
      <c r="X96" s="58">
        <f>0</f>
        <v>0</v>
      </c>
      <c r="Y96" s="58">
        <f>0</f>
        <v>0</v>
      </c>
      <c r="Z96" s="58">
        <f>0</f>
        <v>0</v>
      </c>
      <c r="AA96" s="58">
        <f>0</f>
        <v>0</v>
      </c>
      <c r="AB96" s="58">
        <f>0</f>
        <v>0</v>
      </c>
      <c r="AC96" s="58">
        <f>0</f>
        <v>0</v>
      </c>
      <c r="AD96" s="58">
        <f>0</f>
        <v>0</v>
      </c>
      <c r="AE96" s="58">
        <f>0</f>
        <v>0</v>
      </c>
      <c r="AF96" s="58">
        <f>0</f>
        <v>0</v>
      </c>
      <c r="AG96" s="58">
        <f>0</f>
        <v>0</v>
      </c>
      <c r="AH96" s="58">
        <f>0</f>
        <v>0</v>
      </c>
      <c r="AI96" s="58">
        <f>0</f>
        <v>0</v>
      </c>
      <c r="AJ96" s="58">
        <f>0</f>
        <v>0</v>
      </c>
      <c r="AK96" s="58">
        <f>0</f>
        <v>0</v>
      </c>
      <c r="AL96" s="59">
        <f>0</f>
        <v>0</v>
      </c>
    </row>
    <row r="97" spans="1:39" ht="15" customHeight="1" outlineLevel="3">
      <c r="A97" s="375" t="s">
        <v>31</v>
      </c>
      <c r="B97" s="48" t="s">
        <v>159</v>
      </c>
      <c r="C97" s="354"/>
      <c r="D97" s="356" t="s">
        <v>268</v>
      </c>
      <c r="E97" s="93">
        <f>0</f>
        <v>0</v>
      </c>
      <c r="F97" s="55">
        <f>0</f>
        <v>0</v>
      </c>
      <c r="G97" s="55">
        <f>9850</f>
        <v>9850</v>
      </c>
      <c r="H97" s="56">
        <f>9850</f>
        <v>9850</v>
      </c>
      <c r="I97" s="57">
        <f>9850</f>
        <v>9850</v>
      </c>
      <c r="J97" s="58">
        <f>9850</f>
        <v>9850</v>
      </c>
      <c r="K97" s="58">
        <f>9850</f>
        <v>9850</v>
      </c>
      <c r="L97" s="58">
        <f>0</f>
        <v>0</v>
      </c>
      <c r="M97" s="58">
        <f>0</f>
        <v>0</v>
      </c>
      <c r="N97" s="58">
        <f>0</f>
        <v>0</v>
      </c>
      <c r="O97" s="58">
        <f>0</f>
        <v>0</v>
      </c>
      <c r="P97" s="58">
        <f>0</f>
        <v>0</v>
      </c>
      <c r="Q97" s="58">
        <f>0</f>
        <v>0</v>
      </c>
      <c r="R97" s="58">
        <f>0</f>
        <v>0</v>
      </c>
      <c r="S97" s="58">
        <f>0</f>
        <v>0</v>
      </c>
      <c r="T97" s="58">
        <f>0</f>
        <v>0</v>
      </c>
      <c r="U97" s="58">
        <f>0</f>
        <v>0</v>
      </c>
      <c r="V97" s="58">
        <f>0</f>
        <v>0</v>
      </c>
      <c r="W97" s="58">
        <f>0</f>
        <v>0</v>
      </c>
      <c r="X97" s="58">
        <f>0</f>
        <v>0</v>
      </c>
      <c r="Y97" s="58">
        <f>0</f>
        <v>0</v>
      </c>
      <c r="Z97" s="58">
        <f>0</f>
        <v>0</v>
      </c>
      <c r="AA97" s="58">
        <f>0</f>
        <v>0</v>
      </c>
      <c r="AB97" s="58">
        <f>0</f>
        <v>0</v>
      </c>
      <c r="AC97" s="58">
        <f>0</f>
        <v>0</v>
      </c>
      <c r="AD97" s="58">
        <f>0</f>
        <v>0</v>
      </c>
      <c r="AE97" s="58">
        <f>0</f>
        <v>0</v>
      </c>
      <c r="AF97" s="58">
        <f>0</f>
        <v>0</v>
      </c>
      <c r="AG97" s="58">
        <f>0</f>
        <v>0</v>
      </c>
      <c r="AH97" s="58">
        <f>0</f>
        <v>0</v>
      </c>
      <c r="AI97" s="58">
        <f>0</f>
        <v>0</v>
      </c>
      <c r="AJ97" s="58">
        <f>0</f>
        <v>0</v>
      </c>
      <c r="AK97" s="58">
        <f>0</f>
        <v>0</v>
      </c>
      <c r="AL97" s="59">
        <f>0</f>
        <v>0</v>
      </c>
    </row>
    <row r="98" spans="1:39" ht="15" customHeight="1" outlineLevel="3">
      <c r="A98" s="375" t="s">
        <v>31</v>
      </c>
      <c r="B98" s="48" t="s">
        <v>161</v>
      </c>
      <c r="C98" s="354"/>
      <c r="D98" s="356" t="s">
        <v>269</v>
      </c>
      <c r="E98" s="93">
        <f>0</f>
        <v>0</v>
      </c>
      <c r="F98" s="55">
        <f>0</f>
        <v>0</v>
      </c>
      <c r="G98" s="55">
        <f>0</f>
        <v>0</v>
      </c>
      <c r="H98" s="56">
        <f>0</f>
        <v>0</v>
      </c>
      <c r="I98" s="57">
        <f>0</f>
        <v>0</v>
      </c>
      <c r="J98" s="58">
        <f>0</f>
        <v>0</v>
      </c>
      <c r="K98" s="58">
        <f>0</f>
        <v>0</v>
      </c>
      <c r="L98" s="58">
        <f>0</f>
        <v>0</v>
      </c>
      <c r="M98" s="58">
        <f>0</f>
        <v>0</v>
      </c>
      <c r="N98" s="58">
        <f>0</f>
        <v>0</v>
      </c>
      <c r="O98" s="58">
        <f>0</f>
        <v>0</v>
      </c>
      <c r="P98" s="58">
        <f>0</f>
        <v>0</v>
      </c>
      <c r="Q98" s="58">
        <f>0</f>
        <v>0</v>
      </c>
      <c r="R98" s="58">
        <f>0</f>
        <v>0</v>
      </c>
      <c r="S98" s="58">
        <f>0</f>
        <v>0</v>
      </c>
      <c r="T98" s="58">
        <f>0</f>
        <v>0</v>
      </c>
      <c r="U98" s="58">
        <f>0</f>
        <v>0</v>
      </c>
      <c r="V98" s="58">
        <f>0</f>
        <v>0</v>
      </c>
      <c r="W98" s="58">
        <f>0</f>
        <v>0</v>
      </c>
      <c r="X98" s="58">
        <f>0</f>
        <v>0</v>
      </c>
      <c r="Y98" s="58">
        <f>0</f>
        <v>0</v>
      </c>
      <c r="Z98" s="58">
        <f>0</f>
        <v>0</v>
      </c>
      <c r="AA98" s="58">
        <f>0</f>
        <v>0</v>
      </c>
      <c r="AB98" s="58">
        <f>0</f>
        <v>0</v>
      </c>
      <c r="AC98" s="58">
        <f>0</f>
        <v>0</v>
      </c>
      <c r="AD98" s="58">
        <f>0</f>
        <v>0</v>
      </c>
      <c r="AE98" s="58">
        <f>0</f>
        <v>0</v>
      </c>
      <c r="AF98" s="58">
        <f>0</f>
        <v>0</v>
      </c>
      <c r="AG98" s="58">
        <f>0</f>
        <v>0</v>
      </c>
      <c r="AH98" s="58">
        <f>0</f>
        <v>0</v>
      </c>
      <c r="AI98" s="58">
        <f>0</f>
        <v>0</v>
      </c>
      <c r="AJ98" s="58">
        <f>0</f>
        <v>0</v>
      </c>
      <c r="AK98" s="58">
        <f>0</f>
        <v>0</v>
      </c>
      <c r="AL98" s="59">
        <f>0</f>
        <v>0</v>
      </c>
    </row>
    <row r="99" spans="1:39" ht="15" customHeight="1" outlineLevel="2">
      <c r="A99" s="375" t="s">
        <v>31</v>
      </c>
      <c r="B99" s="49" t="s">
        <v>210</v>
      </c>
      <c r="C99" s="377"/>
      <c r="D99" s="371" t="s">
        <v>270</v>
      </c>
      <c r="E99" s="97">
        <f>0</f>
        <v>0</v>
      </c>
      <c r="F99" s="74">
        <f>0</f>
        <v>0</v>
      </c>
      <c r="G99" s="74">
        <f>0</f>
        <v>0</v>
      </c>
      <c r="H99" s="75">
        <f>0</f>
        <v>0</v>
      </c>
      <c r="I99" s="76">
        <f>6750.55</f>
        <v>6750.55</v>
      </c>
      <c r="J99" s="77">
        <f>0</f>
        <v>0</v>
      </c>
      <c r="K99" s="77">
        <f>0</f>
        <v>0</v>
      </c>
      <c r="L99" s="77">
        <f>0</f>
        <v>0</v>
      </c>
      <c r="M99" s="77">
        <f>0</f>
        <v>0</v>
      </c>
      <c r="N99" s="77">
        <f>0</f>
        <v>0</v>
      </c>
      <c r="O99" s="77">
        <f>0</f>
        <v>0</v>
      </c>
      <c r="P99" s="77">
        <f>0</f>
        <v>0</v>
      </c>
      <c r="Q99" s="77">
        <f>0</f>
        <v>0</v>
      </c>
      <c r="R99" s="77">
        <f>0</f>
        <v>0</v>
      </c>
      <c r="S99" s="77">
        <f>0</f>
        <v>0</v>
      </c>
      <c r="T99" s="77">
        <f>0</f>
        <v>0</v>
      </c>
      <c r="U99" s="77">
        <f>0</f>
        <v>0</v>
      </c>
      <c r="V99" s="77">
        <f>0</f>
        <v>0</v>
      </c>
      <c r="W99" s="77">
        <f>0</f>
        <v>0</v>
      </c>
      <c r="X99" s="77">
        <f>0</f>
        <v>0</v>
      </c>
      <c r="Y99" s="77">
        <f>0</f>
        <v>0</v>
      </c>
      <c r="Z99" s="77">
        <f>0</f>
        <v>0</v>
      </c>
      <c r="AA99" s="77">
        <f>0</f>
        <v>0</v>
      </c>
      <c r="AB99" s="77">
        <f>0</f>
        <v>0</v>
      </c>
      <c r="AC99" s="77">
        <f>0</f>
        <v>0</v>
      </c>
      <c r="AD99" s="77">
        <f>0</f>
        <v>0</v>
      </c>
      <c r="AE99" s="77">
        <f>0</f>
        <v>0</v>
      </c>
      <c r="AF99" s="77">
        <f>0</f>
        <v>0</v>
      </c>
      <c r="AG99" s="77">
        <f>0</f>
        <v>0</v>
      </c>
      <c r="AH99" s="77">
        <f>0</f>
        <v>0</v>
      </c>
      <c r="AI99" s="77">
        <f>0</f>
        <v>0</v>
      </c>
      <c r="AJ99" s="77">
        <f>0</f>
        <v>0</v>
      </c>
      <c r="AK99" s="77">
        <f>0</f>
        <v>0</v>
      </c>
      <c r="AL99" s="78">
        <f>0</f>
        <v>0</v>
      </c>
    </row>
    <row r="100" spans="1:39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27"/>
    </row>
    <row r="101" spans="1:39" ht="15" hidden="1">
      <c r="B101" s="155" t="s">
        <v>278</v>
      </c>
      <c r="C101" s="155"/>
      <c r="D101" s="130"/>
      <c r="E101" s="156"/>
      <c r="F101" s="156"/>
      <c r="G101" s="156"/>
      <c r="H101" s="156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27"/>
    </row>
    <row r="102" spans="1:39" ht="15" hidden="1">
      <c r="B102" s="157" t="s">
        <v>423</v>
      </c>
      <c r="C102" s="157"/>
      <c r="D102" s="130"/>
      <c r="E102" s="158"/>
      <c r="F102" s="158"/>
      <c r="G102" s="158"/>
      <c r="H102" s="158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27"/>
    </row>
    <row r="103" spans="1:39" hidden="1">
      <c r="B103" s="159"/>
      <c r="C103" s="159"/>
      <c r="D103" s="130"/>
      <c r="E103" s="158"/>
      <c r="F103" s="158"/>
      <c r="G103" s="158"/>
      <c r="H103" s="158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27"/>
    </row>
    <row r="104" spans="1:39" hidden="1">
      <c r="B104" s="159"/>
      <c r="C104" s="159"/>
      <c r="D104" s="130"/>
      <c r="E104" s="158"/>
      <c r="F104" s="158"/>
      <c r="G104" s="158"/>
      <c r="H104" s="158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27"/>
    </row>
    <row r="105" spans="1:39" ht="15" hidden="1">
      <c r="B105" s="160" t="s">
        <v>383</v>
      </c>
      <c r="C105" s="160"/>
      <c r="D105" s="160"/>
      <c r="E105" s="161"/>
      <c r="F105" s="161"/>
      <c r="G105" s="161"/>
      <c r="H105" s="158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27"/>
    </row>
    <row r="106" spans="1:39" hidden="1" outlineLevel="1">
      <c r="B106" s="162"/>
      <c r="C106" s="162"/>
      <c r="D106" s="163" t="s">
        <v>384</v>
      </c>
      <c r="E106" s="158"/>
      <c r="F106" s="158"/>
      <c r="G106" s="158"/>
      <c r="H106" s="158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27"/>
    </row>
    <row r="107" spans="1:39" hidden="1" outlineLevel="1">
      <c r="B107" s="162"/>
      <c r="C107" s="162"/>
      <c r="D107" s="164" t="s">
        <v>385</v>
      </c>
      <c r="E107" s="158"/>
      <c r="F107" s="158"/>
      <c r="G107" s="158"/>
      <c r="H107" s="158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27"/>
    </row>
    <row r="108" spans="1:39" hidden="1" outlineLevel="1">
      <c r="B108" s="162"/>
      <c r="C108" s="162"/>
      <c r="D108" s="165" t="s">
        <v>337</v>
      </c>
      <c r="E108" s="158"/>
      <c r="F108" s="158"/>
      <c r="G108" s="158"/>
      <c r="H108" s="158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27"/>
    </row>
    <row r="109" spans="1:39" hidden="1" outlineLevel="1">
      <c r="B109" s="305"/>
      <c r="C109" s="305"/>
      <c r="D109" s="306" t="s">
        <v>443</v>
      </c>
      <c r="E109" s="158"/>
      <c r="F109" s="158"/>
      <c r="G109" s="158"/>
      <c r="H109" s="158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27"/>
    </row>
    <row r="110" spans="1:39" hidden="1" outlineLevel="2">
      <c r="B110" s="358" t="s">
        <v>284</v>
      </c>
      <c r="C110" s="359"/>
      <c r="D110" s="86" t="s">
        <v>332</v>
      </c>
      <c r="E110" s="404" t="s">
        <v>31</v>
      </c>
      <c r="F110" s="405" t="s">
        <v>31</v>
      </c>
      <c r="G110" s="405" t="s">
        <v>31</v>
      </c>
      <c r="H110" s="406" t="s">
        <v>31</v>
      </c>
      <c r="I110" s="341" t="str">
        <f>IF(ROUND(I6+I26+I28,2)&gt;=ROUND(I17-I20,2),"TAK","NIE")</f>
        <v>TAK</v>
      </c>
      <c r="J110" s="337" t="str">
        <f t="shared" ref="J110:AL110" si="4">IF(ROUND(J6+J26+J28,2)&gt;=ROUND(J17-J20,2),"TAK","NIE")</f>
        <v>TAK</v>
      </c>
      <c r="K110" s="337" t="str">
        <f t="shared" si="4"/>
        <v>TAK</v>
      </c>
      <c r="L110" s="337" t="str">
        <f t="shared" si="4"/>
        <v>TAK</v>
      </c>
      <c r="M110" s="337" t="str">
        <f t="shared" si="4"/>
        <v>TAK</v>
      </c>
      <c r="N110" s="337" t="str">
        <f t="shared" si="4"/>
        <v>TAK</v>
      </c>
      <c r="O110" s="337" t="str">
        <f t="shared" si="4"/>
        <v>TAK</v>
      </c>
      <c r="P110" s="337" t="str">
        <f t="shared" si="4"/>
        <v>TAK</v>
      </c>
      <c r="Q110" s="337" t="str">
        <f t="shared" si="4"/>
        <v>TAK</v>
      </c>
      <c r="R110" s="337" t="str">
        <f t="shared" si="4"/>
        <v>TAK</v>
      </c>
      <c r="S110" s="337" t="str">
        <f t="shared" si="4"/>
        <v>TAK</v>
      </c>
      <c r="T110" s="337" t="str">
        <f t="shared" si="4"/>
        <v>TAK</v>
      </c>
      <c r="U110" s="337" t="str">
        <f t="shared" si="4"/>
        <v>TAK</v>
      </c>
      <c r="V110" s="337" t="str">
        <f t="shared" si="4"/>
        <v>TAK</v>
      </c>
      <c r="W110" s="337" t="str">
        <f t="shared" si="4"/>
        <v>TAK</v>
      </c>
      <c r="X110" s="337" t="str">
        <f t="shared" si="4"/>
        <v>TAK</v>
      </c>
      <c r="Y110" s="337" t="str">
        <f t="shared" si="4"/>
        <v>TAK</v>
      </c>
      <c r="Z110" s="337" t="str">
        <f t="shared" si="4"/>
        <v>TAK</v>
      </c>
      <c r="AA110" s="337" t="str">
        <f t="shared" si="4"/>
        <v>TAK</v>
      </c>
      <c r="AB110" s="337" t="str">
        <f t="shared" si="4"/>
        <v>TAK</v>
      </c>
      <c r="AC110" s="337" t="str">
        <f t="shared" si="4"/>
        <v>TAK</v>
      </c>
      <c r="AD110" s="337" t="str">
        <f t="shared" si="4"/>
        <v>TAK</v>
      </c>
      <c r="AE110" s="337" t="str">
        <f t="shared" si="4"/>
        <v>TAK</v>
      </c>
      <c r="AF110" s="337" t="str">
        <f t="shared" si="4"/>
        <v>TAK</v>
      </c>
      <c r="AG110" s="337" t="str">
        <f t="shared" si="4"/>
        <v>TAK</v>
      </c>
      <c r="AH110" s="337" t="str">
        <f t="shared" si="4"/>
        <v>TAK</v>
      </c>
      <c r="AI110" s="337" t="str">
        <f t="shared" si="4"/>
        <v>TAK</v>
      </c>
      <c r="AJ110" s="337" t="str">
        <f t="shared" si="4"/>
        <v>TAK</v>
      </c>
      <c r="AK110" s="337" t="str">
        <f t="shared" si="4"/>
        <v>TAK</v>
      </c>
      <c r="AL110" s="338" t="str">
        <f t="shared" si="4"/>
        <v>TAK</v>
      </c>
      <c r="AM110" s="22"/>
    </row>
    <row r="111" spans="1:39" hidden="1" outlineLevel="2">
      <c r="B111" s="360"/>
      <c r="C111" s="361"/>
      <c r="D111" s="87" t="s">
        <v>279</v>
      </c>
      <c r="E111" s="407" t="s">
        <v>31</v>
      </c>
      <c r="F111" s="408" t="s">
        <v>31</v>
      </c>
      <c r="G111" s="408" t="s">
        <v>31</v>
      </c>
      <c r="H111" s="409" t="s">
        <v>31</v>
      </c>
      <c r="I111" s="342" t="str">
        <f>IF(I49&lt;=15%,"TAK","NIE")</f>
        <v>NIE</v>
      </c>
      <c r="J111" s="335" t="s">
        <v>31</v>
      </c>
      <c r="K111" s="335" t="s">
        <v>31</v>
      </c>
      <c r="L111" s="335" t="s">
        <v>31</v>
      </c>
      <c r="M111" s="335" t="s">
        <v>31</v>
      </c>
      <c r="N111" s="335" t="s">
        <v>31</v>
      </c>
      <c r="O111" s="335" t="s">
        <v>31</v>
      </c>
      <c r="P111" s="335" t="s">
        <v>31</v>
      </c>
      <c r="Q111" s="335" t="s">
        <v>31</v>
      </c>
      <c r="R111" s="335" t="s">
        <v>31</v>
      </c>
      <c r="S111" s="335" t="s">
        <v>31</v>
      </c>
      <c r="T111" s="335" t="s">
        <v>31</v>
      </c>
      <c r="U111" s="335" t="s">
        <v>31</v>
      </c>
      <c r="V111" s="335" t="s">
        <v>31</v>
      </c>
      <c r="W111" s="335" t="s">
        <v>31</v>
      </c>
      <c r="X111" s="335" t="s">
        <v>31</v>
      </c>
      <c r="Y111" s="335" t="s">
        <v>31</v>
      </c>
      <c r="Z111" s="335" t="s">
        <v>31</v>
      </c>
      <c r="AA111" s="335" t="s">
        <v>31</v>
      </c>
      <c r="AB111" s="335" t="s">
        <v>31</v>
      </c>
      <c r="AC111" s="335" t="s">
        <v>31</v>
      </c>
      <c r="AD111" s="335" t="s">
        <v>31</v>
      </c>
      <c r="AE111" s="335" t="s">
        <v>31</v>
      </c>
      <c r="AF111" s="335" t="s">
        <v>31</v>
      </c>
      <c r="AG111" s="335" t="s">
        <v>31</v>
      </c>
      <c r="AH111" s="335" t="s">
        <v>31</v>
      </c>
      <c r="AI111" s="335" t="s">
        <v>31</v>
      </c>
      <c r="AJ111" s="335" t="s">
        <v>31</v>
      </c>
      <c r="AK111" s="335" t="s">
        <v>31</v>
      </c>
      <c r="AL111" s="336" t="s">
        <v>31</v>
      </c>
      <c r="AM111" s="85"/>
    </row>
    <row r="112" spans="1:39" hidden="1" outlineLevel="2">
      <c r="B112" s="360"/>
      <c r="C112" s="361"/>
      <c r="D112" s="87" t="s">
        <v>280</v>
      </c>
      <c r="E112" s="407" t="s">
        <v>31</v>
      </c>
      <c r="F112" s="408" t="s">
        <v>31</v>
      </c>
      <c r="G112" s="408" t="s">
        <v>31</v>
      </c>
      <c r="H112" s="409" t="s">
        <v>31</v>
      </c>
      <c r="I112" s="342" t="str">
        <f>IF(I50&lt;=15%,"TAK","NIE")</f>
        <v>TAK</v>
      </c>
      <c r="J112" s="335" t="s">
        <v>31</v>
      </c>
      <c r="K112" s="335" t="s">
        <v>31</v>
      </c>
      <c r="L112" s="335" t="s">
        <v>31</v>
      </c>
      <c r="M112" s="335" t="s">
        <v>31</v>
      </c>
      <c r="N112" s="335" t="s">
        <v>31</v>
      </c>
      <c r="O112" s="335" t="s">
        <v>31</v>
      </c>
      <c r="P112" s="335" t="s">
        <v>31</v>
      </c>
      <c r="Q112" s="335" t="s">
        <v>31</v>
      </c>
      <c r="R112" s="335" t="s">
        <v>31</v>
      </c>
      <c r="S112" s="335" t="s">
        <v>31</v>
      </c>
      <c r="T112" s="335" t="s">
        <v>31</v>
      </c>
      <c r="U112" s="335" t="s">
        <v>31</v>
      </c>
      <c r="V112" s="335" t="s">
        <v>31</v>
      </c>
      <c r="W112" s="335" t="s">
        <v>31</v>
      </c>
      <c r="X112" s="335" t="s">
        <v>31</v>
      </c>
      <c r="Y112" s="335" t="s">
        <v>31</v>
      </c>
      <c r="Z112" s="335" t="s">
        <v>31</v>
      </c>
      <c r="AA112" s="335" t="s">
        <v>31</v>
      </c>
      <c r="AB112" s="335" t="s">
        <v>31</v>
      </c>
      <c r="AC112" s="335" t="s">
        <v>31</v>
      </c>
      <c r="AD112" s="335" t="s">
        <v>31</v>
      </c>
      <c r="AE112" s="335" t="s">
        <v>31</v>
      </c>
      <c r="AF112" s="335" t="s">
        <v>31</v>
      </c>
      <c r="AG112" s="335" t="s">
        <v>31</v>
      </c>
      <c r="AH112" s="335" t="s">
        <v>31</v>
      </c>
      <c r="AI112" s="335" t="s">
        <v>31</v>
      </c>
      <c r="AJ112" s="335" t="s">
        <v>31</v>
      </c>
      <c r="AK112" s="335" t="s">
        <v>31</v>
      </c>
      <c r="AL112" s="336" t="s">
        <v>31</v>
      </c>
      <c r="AM112" s="85"/>
    </row>
    <row r="113" spans="2:39" hidden="1" outlineLevel="2">
      <c r="B113" s="360"/>
      <c r="C113" s="361"/>
      <c r="D113" s="87" t="s">
        <v>386</v>
      </c>
      <c r="E113" s="407" t="s">
        <v>31</v>
      </c>
      <c r="F113" s="408" t="s">
        <v>31</v>
      </c>
      <c r="G113" s="408" t="s">
        <v>31</v>
      </c>
      <c r="H113" s="409" t="s">
        <v>31</v>
      </c>
      <c r="I113" s="342" t="str">
        <f>IF(I42&lt;=60%,"TAK","NIE")</f>
        <v>NIE</v>
      </c>
      <c r="J113" s="335" t="s">
        <v>31</v>
      </c>
      <c r="K113" s="335" t="s">
        <v>31</v>
      </c>
      <c r="L113" s="335" t="s">
        <v>31</v>
      </c>
      <c r="M113" s="335" t="s">
        <v>31</v>
      </c>
      <c r="N113" s="335" t="s">
        <v>31</v>
      </c>
      <c r="O113" s="335" t="s">
        <v>31</v>
      </c>
      <c r="P113" s="335" t="s">
        <v>31</v>
      </c>
      <c r="Q113" s="335" t="s">
        <v>31</v>
      </c>
      <c r="R113" s="335" t="s">
        <v>31</v>
      </c>
      <c r="S113" s="335" t="s">
        <v>31</v>
      </c>
      <c r="T113" s="335" t="s">
        <v>31</v>
      </c>
      <c r="U113" s="335" t="s">
        <v>31</v>
      </c>
      <c r="V113" s="335" t="s">
        <v>31</v>
      </c>
      <c r="W113" s="335" t="s">
        <v>31</v>
      </c>
      <c r="X113" s="335" t="s">
        <v>31</v>
      </c>
      <c r="Y113" s="335" t="s">
        <v>31</v>
      </c>
      <c r="Z113" s="335" t="s">
        <v>31</v>
      </c>
      <c r="AA113" s="335" t="s">
        <v>31</v>
      </c>
      <c r="AB113" s="335" t="s">
        <v>31</v>
      </c>
      <c r="AC113" s="335" t="s">
        <v>31</v>
      </c>
      <c r="AD113" s="335" t="s">
        <v>31</v>
      </c>
      <c r="AE113" s="335" t="s">
        <v>31</v>
      </c>
      <c r="AF113" s="335" t="s">
        <v>31</v>
      </c>
      <c r="AG113" s="335" t="s">
        <v>31</v>
      </c>
      <c r="AH113" s="335" t="s">
        <v>31</v>
      </c>
      <c r="AI113" s="335" t="s">
        <v>31</v>
      </c>
      <c r="AJ113" s="335" t="s">
        <v>31</v>
      </c>
      <c r="AK113" s="335" t="s">
        <v>31</v>
      </c>
      <c r="AL113" s="336" t="s">
        <v>31</v>
      </c>
      <c r="AM113" s="85"/>
    </row>
    <row r="114" spans="2:39" hidden="1" outlineLevel="2">
      <c r="B114" s="360"/>
      <c r="C114" s="361"/>
      <c r="D114" s="87" t="s">
        <v>281</v>
      </c>
      <c r="E114" s="407" t="s">
        <v>31</v>
      </c>
      <c r="F114" s="408" t="s">
        <v>31</v>
      </c>
      <c r="G114" s="408" t="s">
        <v>31</v>
      </c>
      <c r="H114" s="409" t="s">
        <v>31</v>
      </c>
      <c r="I114" s="342" t="str">
        <f>IF(I43&lt;=60%,"TAK","NIE")</f>
        <v>TAK</v>
      </c>
      <c r="J114" s="335" t="s">
        <v>31</v>
      </c>
      <c r="K114" s="335" t="s">
        <v>31</v>
      </c>
      <c r="L114" s="335" t="s">
        <v>31</v>
      </c>
      <c r="M114" s="335" t="s">
        <v>31</v>
      </c>
      <c r="N114" s="335" t="s">
        <v>31</v>
      </c>
      <c r="O114" s="335" t="s">
        <v>31</v>
      </c>
      <c r="P114" s="335" t="s">
        <v>31</v>
      </c>
      <c r="Q114" s="335" t="s">
        <v>31</v>
      </c>
      <c r="R114" s="335" t="s">
        <v>31</v>
      </c>
      <c r="S114" s="335" t="s">
        <v>31</v>
      </c>
      <c r="T114" s="335" t="s">
        <v>31</v>
      </c>
      <c r="U114" s="335" t="s">
        <v>31</v>
      </c>
      <c r="V114" s="335" t="s">
        <v>31</v>
      </c>
      <c r="W114" s="335" t="s">
        <v>31</v>
      </c>
      <c r="X114" s="335" t="s">
        <v>31</v>
      </c>
      <c r="Y114" s="335" t="s">
        <v>31</v>
      </c>
      <c r="Z114" s="335" t="s">
        <v>31</v>
      </c>
      <c r="AA114" s="335" t="s">
        <v>31</v>
      </c>
      <c r="AB114" s="335" t="s">
        <v>31</v>
      </c>
      <c r="AC114" s="335" t="s">
        <v>31</v>
      </c>
      <c r="AD114" s="335" t="s">
        <v>31</v>
      </c>
      <c r="AE114" s="335" t="s">
        <v>31</v>
      </c>
      <c r="AF114" s="335" t="s">
        <v>31</v>
      </c>
      <c r="AG114" s="335" t="s">
        <v>31</v>
      </c>
      <c r="AH114" s="335" t="s">
        <v>31</v>
      </c>
      <c r="AI114" s="335" t="s">
        <v>31</v>
      </c>
      <c r="AJ114" s="335" t="s">
        <v>31</v>
      </c>
      <c r="AK114" s="335" t="s">
        <v>31</v>
      </c>
      <c r="AL114" s="336" t="s">
        <v>31</v>
      </c>
      <c r="AM114" s="85"/>
    </row>
    <row r="115" spans="2:39" ht="24" hidden="1" outlineLevel="2">
      <c r="B115" s="360" t="s">
        <v>282</v>
      </c>
      <c r="C115" s="361"/>
      <c r="D115" s="87" t="s">
        <v>404</v>
      </c>
      <c r="E115" s="407" t="s">
        <v>31</v>
      </c>
      <c r="F115" s="408" t="s">
        <v>31</v>
      </c>
      <c r="G115" s="408" t="s">
        <v>31</v>
      </c>
      <c r="H115" s="409" t="s">
        <v>31</v>
      </c>
      <c r="I115" s="342" t="s">
        <v>31</v>
      </c>
      <c r="J115" s="335" t="s">
        <v>31</v>
      </c>
      <c r="K115" s="335" t="str">
        <f t="shared" ref="K115:AL115" si="5">IF(K87=0,"TAK","BŁĄD")</f>
        <v>TAK</v>
      </c>
      <c r="L115" s="335" t="str">
        <f t="shared" si="5"/>
        <v>TAK</v>
      </c>
      <c r="M115" s="335" t="str">
        <f t="shared" si="5"/>
        <v>TAK</v>
      </c>
      <c r="N115" s="335" t="str">
        <f t="shared" si="5"/>
        <v>TAK</v>
      </c>
      <c r="O115" s="335" t="str">
        <f t="shared" si="5"/>
        <v>TAK</v>
      </c>
      <c r="P115" s="335" t="str">
        <f t="shared" si="5"/>
        <v>TAK</v>
      </c>
      <c r="Q115" s="335" t="str">
        <f t="shared" si="5"/>
        <v>TAK</v>
      </c>
      <c r="R115" s="335" t="str">
        <f t="shared" si="5"/>
        <v>TAK</v>
      </c>
      <c r="S115" s="335" t="str">
        <f t="shared" si="5"/>
        <v>TAK</v>
      </c>
      <c r="T115" s="335" t="str">
        <f t="shared" si="5"/>
        <v>TAK</v>
      </c>
      <c r="U115" s="335" t="str">
        <f t="shared" si="5"/>
        <v>TAK</v>
      </c>
      <c r="V115" s="335" t="str">
        <f t="shared" si="5"/>
        <v>TAK</v>
      </c>
      <c r="W115" s="335" t="str">
        <f t="shared" si="5"/>
        <v>TAK</v>
      </c>
      <c r="X115" s="335" t="str">
        <f t="shared" si="5"/>
        <v>TAK</v>
      </c>
      <c r="Y115" s="335" t="str">
        <f t="shared" si="5"/>
        <v>TAK</v>
      </c>
      <c r="Z115" s="335" t="str">
        <f t="shared" si="5"/>
        <v>TAK</v>
      </c>
      <c r="AA115" s="335" t="str">
        <f t="shared" si="5"/>
        <v>TAK</v>
      </c>
      <c r="AB115" s="335" t="str">
        <f t="shared" si="5"/>
        <v>TAK</v>
      </c>
      <c r="AC115" s="335" t="str">
        <f t="shared" si="5"/>
        <v>TAK</v>
      </c>
      <c r="AD115" s="335" t="str">
        <f t="shared" si="5"/>
        <v>TAK</v>
      </c>
      <c r="AE115" s="335" t="str">
        <f t="shared" si="5"/>
        <v>TAK</v>
      </c>
      <c r="AF115" s="335" t="str">
        <f t="shared" si="5"/>
        <v>TAK</v>
      </c>
      <c r="AG115" s="335" t="str">
        <f t="shared" si="5"/>
        <v>TAK</v>
      </c>
      <c r="AH115" s="335" t="str">
        <f t="shared" si="5"/>
        <v>TAK</v>
      </c>
      <c r="AI115" s="335" t="str">
        <f t="shared" si="5"/>
        <v>TAK</v>
      </c>
      <c r="AJ115" s="335" t="str">
        <f t="shared" si="5"/>
        <v>TAK</v>
      </c>
      <c r="AK115" s="335" t="str">
        <f t="shared" si="5"/>
        <v>TAK</v>
      </c>
      <c r="AL115" s="336" t="str">
        <f t="shared" si="5"/>
        <v>TAK</v>
      </c>
      <c r="AM115" s="22"/>
    </row>
    <row r="116" spans="2:39" hidden="1" outlineLevel="1">
      <c r="B116" s="360" t="s">
        <v>283</v>
      </c>
      <c r="C116" s="361"/>
      <c r="D116" s="88" t="s">
        <v>333</v>
      </c>
      <c r="E116" s="407" t="s">
        <v>31</v>
      </c>
      <c r="F116" s="408" t="s">
        <v>31</v>
      </c>
      <c r="G116" s="408" t="s">
        <v>31</v>
      </c>
      <c r="H116" s="409" t="s">
        <v>31</v>
      </c>
      <c r="I116" s="347" t="str">
        <f>IF(ROUND(I5+I25-I16-I34,2)=0,"OK",ROUND(I5+I25-I16-I34,2))</f>
        <v>OK</v>
      </c>
      <c r="J116" s="348" t="str">
        <f t="shared" ref="J116:AL116" si="6">IF(ROUND(J5+J25-J16-J34,2)=0,"OK",ROUND(J5+J25-J16-J34,2))</f>
        <v>OK</v>
      </c>
      <c r="K116" s="348" t="str">
        <f t="shared" si="6"/>
        <v>OK</v>
      </c>
      <c r="L116" s="348" t="str">
        <f t="shared" si="6"/>
        <v>OK</v>
      </c>
      <c r="M116" s="348" t="str">
        <f t="shared" si="6"/>
        <v>OK</v>
      </c>
      <c r="N116" s="348" t="str">
        <f t="shared" si="6"/>
        <v>OK</v>
      </c>
      <c r="O116" s="348" t="str">
        <f t="shared" si="6"/>
        <v>OK</v>
      </c>
      <c r="P116" s="348" t="str">
        <f t="shared" si="6"/>
        <v>OK</v>
      </c>
      <c r="Q116" s="348" t="str">
        <f t="shared" si="6"/>
        <v>OK</v>
      </c>
      <c r="R116" s="348" t="str">
        <f t="shared" si="6"/>
        <v>OK</v>
      </c>
      <c r="S116" s="348" t="str">
        <f t="shared" si="6"/>
        <v>OK</v>
      </c>
      <c r="T116" s="348" t="str">
        <f t="shared" si="6"/>
        <v>OK</v>
      </c>
      <c r="U116" s="348" t="str">
        <f t="shared" si="6"/>
        <v>OK</v>
      </c>
      <c r="V116" s="348" t="str">
        <f t="shared" si="6"/>
        <v>OK</v>
      </c>
      <c r="W116" s="348" t="str">
        <f t="shared" si="6"/>
        <v>OK</v>
      </c>
      <c r="X116" s="348" t="str">
        <f t="shared" si="6"/>
        <v>OK</v>
      </c>
      <c r="Y116" s="348" t="str">
        <f t="shared" si="6"/>
        <v>OK</v>
      </c>
      <c r="Z116" s="348" t="str">
        <f t="shared" si="6"/>
        <v>OK</v>
      </c>
      <c r="AA116" s="348" t="str">
        <f t="shared" si="6"/>
        <v>OK</v>
      </c>
      <c r="AB116" s="348" t="str">
        <f t="shared" si="6"/>
        <v>OK</v>
      </c>
      <c r="AC116" s="348" t="str">
        <f t="shared" si="6"/>
        <v>OK</v>
      </c>
      <c r="AD116" s="348" t="str">
        <f t="shared" si="6"/>
        <v>OK</v>
      </c>
      <c r="AE116" s="348" t="str">
        <f t="shared" si="6"/>
        <v>OK</v>
      </c>
      <c r="AF116" s="348" t="str">
        <f t="shared" si="6"/>
        <v>OK</v>
      </c>
      <c r="AG116" s="348" t="str">
        <f t="shared" si="6"/>
        <v>OK</v>
      </c>
      <c r="AH116" s="348" t="str">
        <f t="shared" si="6"/>
        <v>OK</v>
      </c>
      <c r="AI116" s="348" t="str">
        <f t="shared" si="6"/>
        <v>OK</v>
      </c>
      <c r="AJ116" s="348" t="str">
        <f t="shared" si="6"/>
        <v>OK</v>
      </c>
      <c r="AK116" s="348" t="str">
        <f t="shared" si="6"/>
        <v>OK</v>
      </c>
      <c r="AL116" s="349" t="str">
        <f t="shared" si="6"/>
        <v>OK</v>
      </c>
      <c r="AM116" s="22"/>
    </row>
    <row r="117" spans="2:39" hidden="1" outlineLevel="2">
      <c r="B117" s="373" t="s">
        <v>465</v>
      </c>
      <c r="C117" s="378"/>
      <c r="D117" s="88" t="s">
        <v>334</v>
      </c>
      <c r="E117" s="407" t="s">
        <v>31</v>
      </c>
      <c r="F117" s="408" t="s">
        <v>31</v>
      </c>
      <c r="G117" s="408" t="s">
        <v>31</v>
      </c>
      <c r="H117" s="409" t="s">
        <v>31</v>
      </c>
      <c r="I117" s="347" t="str">
        <f>+IF(ROUND(H39+I30-I35+(I94-H94)+I99-I39,2)=0,"OK",ROUND(H39+I30-I35+(I94-H94)+I99-I39,2))</f>
        <v>OK</v>
      </c>
      <c r="J117" s="348" t="str">
        <f t="shared" ref="J117:AL117" si="7">+IF(ROUND(I39+J30-J35+(J94-I94)+J99-J39,2)=0,"OK",ROUND(I39+J30-J35+(J94-I94)+J99-J39,2))</f>
        <v>OK</v>
      </c>
      <c r="K117" s="348" t="str">
        <f t="shared" si="7"/>
        <v>OK</v>
      </c>
      <c r="L117" s="348" t="str">
        <f t="shared" si="7"/>
        <v>OK</v>
      </c>
      <c r="M117" s="348" t="str">
        <f t="shared" si="7"/>
        <v>OK</v>
      </c>
      <c r="N117" s="348" t="str">
        <f t="shared" si="7"/>
        <v>OK</v>
      </c>
      <c r="O117" s="348" t="str">
        <f t="shared" si="7"/>
        <v>OK</v>
      </c>
      <c r="P117" s="348" t="str">
        <f t="shared" si="7"/>
        <v>OK</v>
      </c>
      <c r="Q117" s="348" t="str">
        <f t="shared" si="7"/>
        <v>OK</v>
      </c>
      <c r="R117" s="348" t="str">
        <f t="shared" si="7"/>
        <v>OK</v>
      </c>
      <c r="S117" s="348" t="str">
        <f t="shared" si="7"/>
        <v>OK</v>
      </c>
      <c r="T117" s="348" t="str">
        <f t="shared" si="7"/>
        <v>OK</v>
      </c>
      <c r="U117" s="348" t="str">
        <f t="shared" si="7"/>
        <v>OK</v>
      </c>
      <c r="V117" s="348" t="str">
        <f t="shared" si="7"/>
        <v>OK</v>
      </c>
      <c r="W117" s="348" t="str">
        <f t="shared" si="7"/>
        <v>OK</v>
      </c>
      <c r="X117" s="348" t="str">
        <f t="shared" si="7"/>
        <v>OK</v>
      </c>
      <c r="Y117" s="348" t="str">
        <f t="shared" si="7"/>
        <v>OK</v>
      </c>
      <c r="Z117" s="348" t="str">
        <f t="shared" si="7"/>
        <v>OK</v>
      </c>
      <c r="AA117" s="348" t="str">
        <f t="shared" si="7"/>
        <v>OK</v>
      </c>
      <c r="AB117" s="348" t="str">
        <f t="shared" si="7"/>
        <v>OK</v>
      </c>
      <c r="AC117" s="348" t="str">
        <f t="shared" si="7"/>
        <v>OK</v>
      </c>
      <c r="AD117" s="348" t="str">
        <f t="shared" si="7"/>
        <v>OK</v>
      </c>
      <c r="AE117" s="348" t="str">
        <f t="shared" si="7"/>
        <v>OK</v>
      </c>
      <c r="AF117" s="348" t="str">
        <f t="shared" si="7"/>
        <v>OK</v>
      </c>
      <c r="AG117" s="348" t="str">
        <f t="shared" si="7"/>
        <v>OK</v>
      </c>
      <c r="AH117" s="348" t="str">
        <f t="shared" si="7"/>
        <v>OK</v>
      </c>
      <c r="AI117" s="348" t="str">
        <f t="shared" si="7"/>
        <v>OK</v>
      </c>
      <c r="AJ117" s="348" t="str">
        <f t="shared" si="7"/>
        <v>OK</v>
      </c>
      <c r="AK117" s="348" t="str">
        <f t="shared" si="7"/>
        <v>OK</v>
      </c>
      <c r="AL117" s="349" t="str">
        <f t="shared" si="7"/>
        <v>OK</v>
      </c>
      <c r="AM117" s="22"/>
    </row>
    <row r="118" spans="2:39" ht="48" hidden="1" outlineLevel="2">
      <c r="B118" s="373" t="s">
        <v>466</v>
      </c>
      <c r="C118" s="378"/>
      <c r="D118" s="88" t="s">
        <v>476</v>
      </c>
      <c r="E118" s="410" t="s">
        <v>31</v>
      </c>
      <c r="F118" s="408" t="s">
        <v>31</v>
      </c>
      <c r="G118" s="408" t="s">
        <v>31</v>
      </c>
      <c r="H118" s="409" t="s">
        <v>31</v>
      </c>
      <c r="I118" s="348" t="str">
        <f>+IF(H94=0,"N/D",IF(ROUND(I94+I95-H94,2)=0,"OK",ROUND(I94+I95-H94,2)))</f>
        <v>OK</v>
      </c>
      <c r="J118" s="348" t="str">
        <f t="shared" ref="J118:AL118" si="8">+IF(I94=0,"N/D",IF(ROUND(J94+J95-I94,2)=0,"OK",ROUND(J94+J95-I94,2)))</f>
        <v>OK</v>
      </c>
      <c r="K118" s="348" t="str">
        <f t="shared" si="8"/>
        <v>OK</v>
      </c>
      <c r="L118" s="348" t="str">
        <f t="shared" si="8"/>
        <v>N/D</v>
      </c>
      <c r="M118" s="348" t="str">
        <f t="shared" si="8"/>
        <v>N/D</v>
      </c>
      <c r="N118" s="348" t="str">
        <f t="shared" si="8"/>
        <v>N/D</v>
      </c>
      <c r="O118" s="348" t="str">
        <f t="shared" si="8"/>
        <v>N/D</v>
      </c>
      <c r="P118" s="348" t="str">
        <f t="shared" si="8"/>
        <v>N/D</v>
      </c>
      <c r="Q118" s="348" t="str">
        <f t="shared" si="8"/>
        <v>N/D</v>
      </c>
      <c r="R118" s="348" t="str">
        <f t="shared" si="8"/>
        <v>N/D</v>
      </c>
      <c r="S118" s="348" t="str">
        <f t="shared" si="8"/>
        <v>N/D</v>
      </c>
      <c r="T118" s="348" t="str">
        <f t="shared" si="8"/>
        <v>N/D</v>
      </c>
      <c r="U118" s="348" t="str">
        <f t="shared" si="8"/>
        <v>N/D</v>
      </c>
      <c r="V118" s="348" t="str">
        <f t="shared" si="8"/>
        <v>N/D</v>
      </c>
      <c r="W118" s="348" t="str">
        <f t="shared" si="8"/>
        <v>N/D</v>
      </c>
      <c r="X118" s="348" t="str">
        <f t="shared" si="8"/>
        <v>N/D</v>
      </c>
      <c r="Y118" s="348" t="str">
        <f t="shared" si="8"/>
        <v>N/D</v>
      </c>
      <c r="Z118" s="348" t="str">
        <f t="shared" si="8"/>
        <v>N/D</v>
      </c>
      <c r="AA118" s="348" t="str">
        <f t="shared" si="8"/>
        <v>N/D</v>
      </c>
      <c r="AB118" s="348" t="str">
        <f t="shared" si="8"/>
        <v>N/D</v>
      </c>
      <c r="AC118" s="348" t="str">
        <f t="shared" si="8"/>
        <v>N/D</v>
      </c>
      <c r="AD118" s="348" t="str">
        <f t="shared" si="8"/>
        <v>N/D</v>
      </c>
      <c r="AE118" s="348" t="str">
        <f t="shared" si="8"/>
        <v>N/D</v>
      </c>
      <c r="AF118" s="348" t="str">
        <f t="shared" si="8"/>
        <v>N/D</v>
      </c>
      <c r="AG118" s="348" t="str">
        <f t="shared" si="8"/>
        <v>N/D</v>
      </c>
      <c r="AH118" s="348" t="str">
        <f t="shared" si="8"/>
        <v>N/D</v>
      </c>
      <c r="AI118" s="348" t="str">
        <f t="shared" si="8"/>
        <v>N/D</v>
      </c>
      <c r="AJ118" s="348" t="str">
        <f t="shared" si="8"/>
        <v>N/D</v>
      </c>
      <c r="AK118" s="348" t="str">
        <f t="shared" si="8"/>
        <v>N/D</v>
      </c>
      <c r="AL118" s="349" t="str">
        <f t="shared" si="8"/>
        <v>N/D</v>
      </c>
      <c r="AM118" s="22"/>
    </row>
    <row r="119" spans="2:39" ht="36" hidden="1" outlineLevel="2">
      <c r="B119" s="373" t="s">
        <v>468</v>
      </c>
      <c r="C119" s="378"/>
      <c r="D119" s="88" t="s">
        <v>467</v>
      </c>
      <c r="E119" s="407" t="s">
        <v>31</v>
      </c>
      <c r="F119" s="408" t="s">
        <v>31</v>
      </c>
      <c r="G119" s="408" t="s">
        <v>31</v>
      </c>
      <c r="H119" s="409" t="s">
        <v>31</v>
      </c>
      <c r="I119" s="347" t="str">
        <f>+IF(H85=0,"N/D",IF(ROUND(I85+(I87+I88+I89+I90)-H85,2)=0,"OK",ROUND(I85+(I87+I88+I89+I90)-H85,2)))</f>
        <v>N/D</v>
      </c>
      <c r="J119" s="348" t="str">
        <f t="shared" ref="J119:AL119" si="9">+IF(I85=0,"N/D",IF(ROUND(J85+(J87+J88+J89+J90)-I85,2)=0,"OK",ROUND(J85+(J87+J88+J89+J90)-I85,2)))</f>
        <v>N/D</v>
      </c>
      <c r="K119" s="348" t="str">
        <f t="shared" si="9"/>
        <v>N/D</v>
      </c>
      <c r="L119" s="348" t="str">
        <f t="shared" si="9"/>
        <v>N/D</v>
      </c>
      <c r="M119" s="348" t="str">
        <f t="shared" si="9"/>
        <v>N/D</v>
      </c>
      <c r="N119" s="348" t="str">
        <f t="shared" si="9"/>
        <v>N/D</v>
      </c>
      <c r="O119" s="348" t="str">
        <f t="shared" si="9"/>
        <v>N/D</v>
      </c>
      <c r="P119" s="348" t="str">
        <f t="shared" si="9"/>
        <v>N/D</v>
      </c>
      <c r="Q119" s="348" t="str">
        <f t="shared" si="9"/>
        <v>N/D</v>
      </c>
      <c r="R119" s="348" t="str">
        <f t="shared" si="9"/>
        <v>N/D</v>
      </c>
      <c r="S119" s="348" t="str">
        <f t="shared" si="9"/>
        <v>N/D</v>
      </c>
      <c r="T119" s="348" t="str">
        <f t="shared" si="9"/>
        <v>N/D</v>
      </c>
      <c r="U119" s="348" t="str">
        <f t="shared" si="9"/>
        <v>N/D</v>
      </c>
      <c r="V119" s="348" t="str">
        <f t="shared" si="9"/>
        <v>N/D</v>
      </c>
      <c r="W119" s="348" t="str">
        <f t="shared" si="9"/>
        <v>N/D</v>
      </c>
      <c r="X119" s="348" t="str">
        <f t="shared" si="9"/>
        <v>N/D</v>
      </c>
      <c r="Y119" s="348" t="str">
        <f t="shared" si="9"/>
        <v>N/D</v>
      </c>
      <c r="Z119" s="348" t="str">
        <f t="shared" si="9"/>
        <v>N/D</v>
      </c>
      <c r="AA119" s="348" t="str">
        <f t="shared" si="9"/>
        <v>N/D</v>
      </c>
      <c r="AB119" s="348" t="str">
        <f t="shared" si="9"/>
        <v>N/D</v>
      </c>
      <c r="AC119" s="348" t="str">
        <f t="shared" si="9"/>
        <v>N/D</v>
      </c>
      <c r="AD119" s="348" t="str">
        <f t="shared" si="9"/>
        <v>N/D</v>
      </c>
      <c r="AE119" s="348" t="str">
        <f t="shared" si="9"/>
        <v>N/D</v>
      </c>
      <c r="AF119" s="348" t="str">
        <f t="shared" si="9"/>
        <v>N/D</v>
      </c>
      <c r="AG119" s="348" t="str">
        <f t="shared" si="9"/>
        <v>N/D</v>
      </c>
      <c r="AH119" s="348" t="str">
        <f t="shared" si="9"/>
        <v>N/D</v>
      </c>
      <c r="AI119" s="348" t="str">
        <f t="shared" si="9"/>
        <v>N/D</v>
      </c>
      <c r="AJ119" s="348" t="str">
        <f t="shared" si="9"/>
        <v>N/D</v>
      </c>
      <c r="AK119" s="348" t="str">
        <f t="shared" si="9"/>
        <v>N/D</v>
      </c>
      <c r="AL119" s="349" t="str">
        <f t="shared" si="9"/>
        <v>N/D</v>
      </c>
      <c r="AM119" s="22"/>
    </row>
    <row r="120" spans="2:39" hidden="1" outlineLevel="1">
      <c r="B120" s="360" t="s">
        <v>285</v>
      </c>
      <c r="C120" s="361"/>
      <c r="D120" s="89" t="s">
        <v>335</v>
      </c>
      <c r="E120" s="407" t="s">
        <v>31</v>
      </c>
      <c r="F120" s="408" t="s">
        <v>31</v>
      </c>
      <c r="G120" s="408" t="s">
        <v>31</v>
      </c>
      <c r="H120" s="409" t="s">
        <v>31</v>
      </c>
      <c r="I120" s="344" t="str">
        <f>IF(I24&lt;0,IF(ROUND(I27+I29+I31+I33+I24,2)=0,"OK",ROUND(I27+I29+I31+I33+I24,2)),"N/D")</f>
        <v>OK</v>
      </c>
      <c r="J120" s="345" t="str">
        <f t="shared" ref="J120:AL120" si="10">IF(J24&lt;0,IF(ROUND(J27+J29+J31+J33+J24,2)=0,"OK",ROUND(J27+J29+J31+J33+J24,2)),"N/D")</f>
        <v>N/D</v>
      </c>
      <c r="K120" s="345" t="str">
        <f t="shared" si="10"/>
        <v>N/D</v>
      </c>
      <c r="L120" s="345" t="str">
        <f t="shared" si="10"/>
        <v>N/D</v>
      </c>
      <c r="M120" s="345" t="str">
        <f t="shared" si="10"/>
        <v>N/D</v>
      </c>
      <c r="N120" s="345" t="str">
        <f t="shared" si="10"/>
        <v>N/D</v>
      </c>
      <c r="O120" s="345" t="str">
        <f t="shared" si="10"/>
        <v>N/D</v>
      </c>
      <c r="P120" s="345" t="str">
        <f t="shared" si="10"/>
        <v>N/D</v>
      </c>
      <c r="Q120" s="345" t="str">
        <f t="shared" si="10"/>
        <v>N/D</v>
      </c>
      <c r="R120" s="345" t="str">
        <f t="shared" si="10"/>
        <v>N/D</v>
      </c>
      <c r="S120" s="345" t="str">
        <f t="shared" si="10"/>
        <v>N/D</v>
      </c>
      <c r="T120" s="345" t="str">
        <f t="shared" si="10"/>
        <v>N/D</v>
      </c>
      <c r="U120" s="345" t="str">
        <f t="shared" si="10"/>
        <v>N/D</v>
      </c>
      <c r="V120" s="345" t="str">
        <f t="shared" si="10"/>
        <v>N/D</v>
      </c>
      <c r="W120" s="345" t="str">
        <f t="shared" si="10"/>
        <v>N/D</v>
      </c>
      <c r="X120" s="345" t="str">
        <f t="shared" si="10"/>
        <v>N/D</v>
      </c>
      <c r="Y120" s="345" t="str">
        <f t="shared" si="10"/>
        <v>N/D</v>
      </c>
      <c r="Z120" s="345" t="str">
        <f t="shared" si="10"/>
        <v>N/D</v>
      </c>
      <c r="AA120" s="345" t="str">
        <f t="shared" si="10"/>
        <v>N/D</v>
      </c>
      <c r="AB120" s="345" t="str">
        <f t="shared" si="10"/>
        <v>N/D</v>
      </c>
      <c r="AC120" s="345" t="str">
        <f t="shared" si="10"/>
        <v>N/D</v>
      </c>
      <c r="AD120" s="345" t="str">
        <f t="shared" si="10"/>
        <v>N/D</v>
      </c>
      <c r="AE120" s="345" t="str">
        <f t="shared" si="10"/>
        <v>N/D</v>
      </c>
      <c r="AF120" s="345" t="str">
        <f t="shared" si="10"/>
        <v>N/D</v>
      </c>
      <c r="AG120" s="345" t="str">
        <f t="shared" si="10"/>
        <v>N/D</v>
      </c>
      <c r="AH120" s="345" t="str">
        <f t="shared" si="10"/>
        <v>N/D</v>
      </c>
      <c r="AI120" s="345" t="str">
        <f t="shared" si="10"/>
        <v>N/D</v>
      </c>
      <c r="AJ120" s="345" t="str">
        <f t="shared" si="10"/>
        <v>N/D</v>
      </c>
      <c r="AK120" s="345" t="str">
        <f t="shared" si="10"/>
        <v>N/D</v>
      </c>
      <c r="AL120" s="346" t="str">
        <f t="shared" si="10"/>
        <v>N/D</v>
      </c>
      <c r="AM120" s="22"/>
    </row>
    <row r="121" spans="2:39" hidden="1" outlineLevel="2">
      <c r="B121" s="360" t="s">
        <v>286</v>
      </c>
      <c r="C121" s="361"/>
      <c r="D121" s="89" t="s">
        <v>336</v>
      </c>
      <c r="E121" s="407" t="s">
        <v>31</v>
      </c>
      <c r="F121" s="408" t="s">
        <v>31</v>
      </c>
      <c r="G121" s="408" t="s">
        <v>31</v>
      </c>
      <c r="H121" s="409" t="s">
        <v>31</v>
      </c>
      <c r="I121" s="344" t="str">
        <f>IF(I24&gt;=0,IF(ROUND(I27+I29+I31+I33,2)=0,"OK",ROUND(I27+I29+I31+I33,2)),"N/D")</f>
        <v>N/D</v>
      </c>
      <c r="J121" s="345" t="str">
        <f t="shared" ref="J121:AL121" si="11">IF(J24&gt;=0,IF(ROUND(J27+J29+J31+J33,2)=0,"OK",ROUND(J27+J29+J31+J33,2)),"N/D")</f>
        <v>OK</v>
      </c>
      <c r="K121" s="345" t="str">
        <f t="shared" si="11"/>
        <v>OK</v>
      </c>
      <c r="L121" s="345" t="str">
        <f t="shared" si="11"/>
        <v>OK</v>
      </c>
      <c r="M121" s="345" t="str">
        <f t="shared" si="11"/>
        <v>OK</v>
      </c>
      <c r="N121" s="345" t="str">
        <f t="shared" si="11"/>
        <v>OK</v>
      </c>
      <c r="O121" s="345" t="str">
        <f t="shared" si="11"/>
        <v>OK</v>
      </c>
      <c r="P121" s="345" t="str">
        <f t="shared" si="11"/>
        <v>OK</v>
      </c>
      <c r="Q121" s="345" t="str">
        <f t="shared" si="11"/>
        <v>OK</v>
      </c>
      <c r="R121" s="345" t="str">
        <f t="shared" si="11"/>
        <v>OK</v>
      </c>
      <c r="S121" s="345" t="str">
        <f t="shared" si="11"/>
        <v>OK</v>
      </c>
      <c r="T121" s="345" t="str">
        <f t="shared" si="11"/>
        <v>OK</v>
      </c>
      <c r="U121" s="345" t="str">
        <f t="shared" si="11"/>
        <v>OK</v>
      </c>
      <c r="V121" s="345" t="str">
        <f t="shared" si="11"/>
        <v>OK</v>
      </c>
      <c r="W121" s="345" t="str">
        <f t="shared" si="11"/>
        <v>OK</v>
      </c>
      <c r="X121" s="345" t="str">
        <f t="shared" si="11"/>
        <v>OK</v>
      </c>
      <c r="Y121" s="345" t="str">
        <f t="shared" si="11"/>
        <v>OK</v>
      </c>
      <c r="Z121" s="345" t="str">
        <f t="shared" si="11"/>
        <v>OK</v>
      </c>
      <c r="AA121" s="345" t="str">
        <f t="shared" si="11"/>
        <v>OK</v>
      </c>
      <c r="AB121" s="345" t="str">
        <f t="shared" si="11"/>
        <v>OK</v>
      </c>
      <c r="AC121" s="345" t="str">
        <f t="shared" si="11"/>
        <v>OK</v>
      </c>
      <c r="AD121" s="345" t="str">
        <f t="shared" si="11"/>
        <v>OK</v>
      </c>
      <c r="AE121" s="345" t="str">
        <f t="shared" si="11"/>
        <v>OK</v>
      </c>
      <c r="AF121" s="345" t="str">
        <f t="shared" si="11"/>
        <v>OK</v>
      </c>
      <c r="AG121" s="345" t="str">
        <f t="shared" si="11"/>
        <v>OK</v>
      </c>
      <c r="AH121" s="345" t="str">
        <f t="shared" si="11"/>
        <v>OK</v>
      </c>
      <c r="AI121" s="345" t="str">
        <f t="shared" si="11"/>
        <v>OK</v>
      </c>
      <c r="AJ121" s="345" t="str">
        <f t="shared" si="11"/>
        <v>OK</v>
      </c>
      <c r="AK121" s="345" t="str">
        <f t="shared" si="11"/>
        <v>OK</v>
      </c>
      <c r="AL121" s="346" t="str">
        <f t="shared" si="11"/>
        <v>OK</v>
      </c>
      <c r="AM121" s="22"/>
    </row>
    <row r="122" spans="2:39" hidden="1" outlineLevel="2">
      <c r="B122" s="360" t="s">
        <v>287</v>
      </c>
      <c r="C122" s="361"/>
      <c r="D122" s="89" t="s">
        <v>338</v>
      </c>
      <c r="E122" s="407" t="s">
        <v>31</v>
      </c>
      <c r="F122" s="408" t="s">
        <v>31</v>
      </c>
      <c r="G122" s="408" t="s">
        <v>31</v>
      </c>
      <c r="H122" s="409" t="s">
        <v>31</v>
      </c>
      <c r="I122" s="342" t="str">
        <f t="shared" ref="I122:AL122" si="12">IF(I9&gt;=I10,"OK","BŁĄD")</f>
        <v>OK</v>
      </c>
      <c r="J122" s="335" t="str">
        <f t="shared" si="12"/>
        <v>OK</v>
      </c>
      <c r="K122" s="335" t="str">
        <f t="shared" si="12"/>
        <v>OK</v>
      </c>
      <c r="L122" s="335" t="str">
        <f t="shared" si="12"/>
        <v>OK</v>
      </c>
      <c r="M122" s="335" t="str">
        <f t="shared" si="12"/>
        <v>OK</v>
      </c>
      <c r="N122" s="335" t="str">
        <f t="shared" si="12"/>
        <v>OK</v>
      </c>
      <c r="O122" s="335" t="str">
        <f t="shared" si="12"/>
        <v>OK</v>
      </c>
      <c r="P122" s="335" t="str">
        <f t="shared" si="12"/>
        <v>OK</v>
      </c>
      <c r="Q122" s="335" t="str">
        <f t="shared" si="12"/>
        <v>OK</v>
      </c>
      <c r="R122" s="335" t="str">
        <f t="shared" si="12"/>
        <v>OK</v>
      </c>
      <c r="S122" s="335" t="str">
        <f t="shared" si="12"/>
        <v>OK</v>
      </c>
      <c r="T122" s="335" t="str">
        <f t="shared" si="12"/>
        <v>OK</v>
      </c>
      <c r="U122" s="335" t="str">
        <f t="shared" si="12"/>
        <v>OK</v>
      </c>
      <c r="V122" s="335" t="str">
        <f t="shared" si="12"/>
        <v>OK</v>
      </c>
      <c r="W122" s="335" t="str">
        <f t="shared" si="12"/>
        <v>OK</v>
      </c>
      <c r="X122" s="335" t="str">
        <f t="shared" si="12"/>
        <v>OK</v>
      </c>
      <c r="Y122" s="335" t="str">
        <f t="shared" si="12"/>
        <v>OK</v>
      </c>
      <c r="Z122" s="335" t="str">
        <f t="shared" si="12"/>
        <v>OK</v>
      </c>
      <c r="AA122" s="335" t="str">
        <f t="shared" si="12"/>
        <v>OK</v>
      </c>
      <c r="AB122" s="335" t="str">
        <f t="shared" si="12"/>
        <v>OK</v>
      </c>
      <c r="AC122" s="335" t="str">
        <f t="shared" si="12"/>
        <v>OK</v>
      </c>
      <c r="AD122" s="335" t="str">
        <f t="shared" si="12"/>
        <v>OK</v>
      </c>
      <c r="AE122" s="335" t="str">
        <f t="shared" si="12"/>
        <v>OK</v>
      </c>
      <c r="AF122" s="335" t="str">
        <f t="shared" si="12"/>
        <v>OK</v>
      </c>
      <c r="AG122" s="335" t="str">
        <f t="shared" si="12"/>
        <v>OK</v>
      </c>
      <c r="AH122" s="335" t="str">
        <f t="shared" si="12"/>
        <v>OK</v>
      </c>
      <c r="AI122" s="335" t="str">
        <f t="shared" si="12"/>
        <v>OK</v>
      </c>
      <c r="AJ122" s="335" t="str">
        <f t="shared" si="12"/>
        <v>OK</v>
      </c>
      <c r="AK122" s="335" t="str">
        <f t="shared" si="12"/>
        <v>OK</v>
      </c>
      <c r="AL122" s="336" t="str">
        <f t="shared" si="12"/>
        <v>OK</v>
      </c>
      <c r="AM122" s="22"/>
    </row>
    <row r="123" spans="2:39" hidden="1" outlineLevel="2">
      <c r="B123" s="360" t="s">
        <v>288</v>
      </c>
      <c r="C123" s="361"/>
      <c r="D123" s="89" t="s">
        <v>339</v>
      </c>
      <c r="E123" s="407" t="s">
        <v>31</v>
      </c>
      <c r="F123" s="408" t="s">
        <v>31</v>
      </c>
      <c r="G123" s="408" t="s">
        <v>31</v>
      </c>
      <c r="H123" s="409" t="s">
        <v>31</v>
      </c>
      <c r="I123" s="342" t="str">
        <f t="shared" ref="I123:AL123" si="13">IF(I12&gt;=I86,"OK","BŁĄD")</f>
        <v>OK</v>
      </c>
      <c r="J123" s="335" t="str">
        <f t="shared" si="13"/>
        <v>OK</v>
      </c>
      <c r="K123" s="335" t="str">
        <f t="shared" si="13"/>
        <v>OK</v>
      </c>
      <c r="L123" s="335" t="str">
        <f t="shared" si="13"/>
        <v>OK</v>
      </c>
      <c r="M123" s="335" t="str">
        <f t="shared" si="13"/>
        <v>OK</v>
      </c>
      <c r="N123" s="335" t="str">
        <f t="shared" si="13"/>
        <v>OK</v>
      </c>
      <c r="O123" s="335" t="str">
        <f t="shared" si="13"/>
        <v>OK</v>
      </c>
      <c r="P123" s="335" t="str">
        <f t="shared" si="13"/>
        <v>OK</v>
      </c>
      <c r="Q123" s="335" t="str">
        <f t="shared" si="13"/>
        <v>OK</v>
      </c>
      <c r="R123" s="335" t="str">
        <f t="shared" si="13"/>
        <v>OK</v>
      </c>
      <c r="S123" s="335" t="str">
        <f t="shared" si="13"/>
        <v>OK</v>
      </c>
      <c r="T123" s="335" t="str">
        <f t="shared" si="13"/>
        <v>OK</v>
      </c>
      <c r="U123" s="335" t="str">
        <f t="shared" si="13"/>
        <v>OK</v>
      </c>
      <c r="V123" s="335" t="str">
        <f t="shared" si="13"/>
        <v>OK</v>
      </c>
      <c r="W123" s="335" t="str">
        <f t="shared" si="13"/>
        <v>OK</v>
      </c>
      <c r="X123" s="335" t="str">
        <f t="shared" si="13"/>
        <v>OK</v>
      </c>
      <c r="Y123" s="335" t="str">
        <f t="shared" si="13"/>
        <v>OK</v>
      </c>
      <c r="Z123" s="335" t="str">
        <f t="shared" si="13"/>
        <v>OK</v>
      </c>
      <c r="AA123" s="335" t="str">
        <f t="shared" si="13"/>
        <v>OK</v>
      </c>
      <c r="AB123" s="335" t="str">
        <f t="shared" si="13"/>
        <v>OK</v>
      </c>
      <c r="AC123" s="335" t="str">
        <f t="shared" si="13"/>
        <v>OK</v>
      </c>
      <c r="AD123" s="335" t="str">
        <f t="shared" si="13"/>
        <v>OK</v>
      </c>
      <c r="AE123" s="335" t="str">
        <f t="shared" si="13"/>
        <v>OK</v>
      </c>
      <c r="AF123" s="335" t="str">
        <f t="shared" si="13"/>
        <v>OK</v>
      </c>
      <c r="AG123" s="335" t="str">
        <f t="shared" si="13"/>
        <v>OK</v>
      </c>
      <c r="AH123" s="335" t="str">
        <f t="shared" si="13"/>
        <v>OK</v>
      </c>
      <c r="AI123" s="335" t="str">
        <f t="shared" si="13"/>
        <v>OK</v>
      </c>
      <c r="AJ123" s="335" t="str">
        <f t="shared" si="13"/>
        <v>OK</v>
      </c>
      <c r="AK123" s="335" t="str">
        <f t="shared" si="13"/>
        <v>OK</v>
      </c>
      <c r="AL123" s="336" t="str">
        <f t="shared" si="13"/>
        <v>OK</v>
      </c>
      <c r="AM123" s="22"/>
    </row>
    <row r="124" spans="2:39" hidden="1" outlineLevel="2">
      <c r="B124" s="360" t="s">
        <v>289</v>
      </c>
      <c r="C124" s="361"/>
      <c r="D124" s="89" t="s">
        <v>340</v>
      </c>
      <c r="E124" s="407" t="s">
        <v>31</v>
      </c>
      <c r="F124" s="408" t="s">
        <v>31</v>
      </c>
      <c r="G124" s="408" t="s">
        <v>31</v>
      </c>
      <c r="H124" s="409" t="s">
        <v>31</v>
      </c>
      <c r="I124" s="342" t="str">
        <f t="shared" ref="I124:AL124" si="14">IF(I6&gt;=I7+I8+I9+I11+I12,"OK","BŁĄD")</f>
        <v>OK</v>
      </c>
      <c r="J124" s="335" t="str">
        <f t="shared" si="14"/>
        <v>OK</v>
      </c>
      <c r="K124" s="335" t="str">
        <f t="shared" si="14"/>
        <v>OK</v>
      </c>
      <c r="L124" s="335" t="str">
        <f t="shared" si="14"/>
        <v>OK</v>
      </c>
      <c r="M124" s="335" t="str">
        <f t="shared" si="14"/>
        <v>OK</v>
      </c>
      <c r="N124" s="335" t="str">
        <f t="shared" si="14"/>
        <v>OK</v>
      </c>
      <c r="O124" s="335" t="str">
        <f t="shared" si="14"/>
        <v>OK</v>
      </c>
      <c r="P124" s="335" t="str">
        <f t="shared" si="14"/>
        <v>OK</v>
      </c>
      <c r="Q124" s="335" t="str">
        <f t="shared" si="14"/>
        <v>OK</v>
      </c>
      <c r="R124" s="335" t="str">
        <f t="shared" si="14"/>
        <v>OK</v>
      </c>
      <c r="S124" s="335" t="str">
        <f t="shared" si="14"/>
        <v>OK</v>
      </c>
      <c r="T124" s="335" t="str">
        <f t="shared" si="14"/>
        <v>OK</v>
      </c>
      <c r="U124" s="335" t="str">
        <f t="shared" si="14"/>
        <v>OK</v>
      </c>
      <c r="V124" s="335" t="str">
        <f t="shared" si="14"/>
        <v>OK</v>
      </c>
      <c r="W124" s="335" t="str">
        <f t="shared" si="14"/>
        <v>OK</v>
      </c>
      <c r="X124" s="335" t="str">
        <f t="shared" si="14"/>
        <v>OK</v>
      </c>
      <c r="Y124" s="335" t="str">
        <f t="shared" si="14"/>
        <v>OK</v>
      </c>
      <c r="Z124" s="335" t="str">
        <f t="shared" si="14"/>
        <v>OK</v>
      </c>
      <c r="AA124" s="335" t="str">
        <f t="shared" si="14"/>
        <v>OK</v>
      </c>
      <c r="AB124" s="335" t="str">
        <f t="shared" si="14"/>
        <v>OK</v>
      </c>
      <c r="AC124" s="335" t="str">
        <f t="shared" si="14"/>
        <v>OK</v>
      </c>
      <c r="AD124" s="335" t="str">
        <f t="shared" si="14"/>
        <v>OK</v>
      </c>
      <c r="AE124" s="335" t="str">
        <f t="shared" si="14"/>
        <v>OK</v>
      </c>
      <c r="AF124" s="335" t="str">
        <f t="shared" si="14"/>
        <v>OK</v>
      </c>
      <c r="AG124" s="335" t="str">
        <f t="shared" si="14"/>
        <v>OK</v>
      </c>
      <c r="AH124" s="335" t="str">
        <f t="shared" si="14"/>
        <v>OK</v>
      </c>
      <c r="AI124" s="335" t="str">
        <f t="shared" si="14"/>
        <v>OK</v>
      </c>
      <c r="AJ124" s="335" t="str">
        <f t="shared" si="14"/>
        <v>OK</v>
      </c>
      <c r="AK124" s="335" t="str">
        <f t="shared" si="14"/>
        <v>OK</v>
      </c>
      <c r="AL124" s="336" t="str">
        <f t="shared" si="14"/>
        <v>OK</v>
      </c>
      <c r="AM124" s="22"/>
    </row>
    <row r="125" spans="2:39" hidden="1" outlineLevel="2">
      <c r="B125" s="360" t="s">
        <v>290</v>
      </c>
      <c r="C125" s="361"/>
      <c r="D125" s="89" t="s">
        <v>341</v>
      </c>
      <c r="E125" s="407" t="s">
        <v>31</v>
      </c>
      <c r="F125" s="408" t="s">
        <v>31</v>
      </c>
      <c r="G125" s="408" t="s">
        <v>31</v>
      </c>
      <c r="H125" s="409" t="s">
        <v>31</v>
      </c>
      <c r="I125" s="342" t="str">
        <f t="shared" ref="I125:AL125" si="15">IF(I6&gt;=I72,"OK","BŁĄD")</f>
        <v>OK</v>
      </c>
      <c r="J125" s="335" t="str">
        <f t="shared" si="15"/>
        <v>OK</v>
      </c>
      <c r="K125" s="335" t="str">
        <f t="shared" si="15"/>
        <v>OK</v>
      </c>
      <c r="L125" s="335" t="str">
        <f t="shared" si="15"/>
        <v>OK</v>
      </c>
      <c r="M125" s="335" t="str">
        <f t="shared" si="15"/>
        <v>OK</v>
      </c>
      <c r="N125" s="335" t="str">
        <f t="shared" si="15"/>
        <v>OK</v>
      </c>
      <c r="O125" s="335" t="str">
        <f t="shared" si="15"/>
        <v>OK</v>
      </c>
      <c r="P125" s="335" t="str">
        <f t="shared" si="15"/>
        <v>OK</v>
      </c>
      <c r="Q125" s="335" t="str">
        <f t="shared" si="15"/>
        <v>OK</v>
      </c>
      <c r="R125" s="335" t="str">
        <f t="shared" si="15"/>
        <v>OK</v>
      </c>
      <c r="S125" s="335" t="str">
        <f t="shared" si="15"/>
        <v>OK</v>
      </c>
      <c r="T125" s="335" t="str">
        <f t="shared" si="15"/>
        <v>OK</v>
      </c>
      <c r="U125" s="335" t="str">
        <f t="shared" si="15"/>
        <v>OK</v>
      </c>
      <c r="V125" s="335" t="str">
        <f t="shared" si="15"/>
        <v>OK</v>
      </c>
      <c r="W125" s="335" t="str">
        <f t="shared" si="15"/>
        <v>OK</v>
      </c>
      <c r="X125" s="335" t="str">
        <f t="shared" si="15"/>
        <v>OK</v>
      </c>
      <c r="Y125" s="335" t="str">
        <f t="shared" si="15"/>
        <v>OK</v>
      </c>
      <c r="Z125" s="335" t="str">
        <f t="shared" si="15"/>
        <v>OK</v>
      </c>
      <c r="AA125" s="335" t="str">
        <f t="shared" si="15"/>
        <v>OK</v>
      </c>
      <c r="AB125" s="335" t="str">
        <f t="shared" si="15"/>
        <v>OK</v>
      </c>
      <c r="AC125" s="335" t="str">
        <f t="shared" si="15"/>
        <v>OK</v>
      </c>
      <c r="AD125" s="335" t="str">
        <f t="shared" si="15"/>
        <v>OK</v>
      </c>
      <c r="AE125" s="335" t="str">
        <f t="shared" si="15"/>
        <v>OK</v>
      </c>
      <c r="AF125" s="335" t="str">
        <f t="shared" si="15"/>
        <v>OK</v>
      </c>
      <c r="AG125" s="335" t="str">
        <f t="shared" si="15"/>
        <v>OK</v>
      </c>
      <c r="AH125" s="335" t="str">
        <f t="shared" si="15"/>
        <v>OK</v>
      </c>
      <c r="AI125" s="335" t="str">
        <f t="shared" si="15"/>
        <v>OK</v>
      </c>
      <c r="AJ125" s="335" t="str">
        <f t="shared" si="15"/>
        <v>OK</v>
      </c>
      <c r="AK125" s="335" t="str">
        <f t="shared" si="15"/>
        <v>OK</v>
      </c>
      <c r="AL125" s="336" t="str">
        <f t="shared" si="15"/>
        <v>OK</v>
      </c>
      <c r="AM125" s="22"/>
    </row>
    <row r="126" spans="2:39" hidden="1" outlineLevel="2">
      <c r="B126" s="360" t="s">
        <v>291</v>
      </c>
      <c r="C126" s="361"/>
      <c r="D126" s="89" t="s">
        <v>342</v>
      </c>
      <c r="E126" s="407" t="s">
        <v>31</v>
      </c>
      <c r="F126" s="408" t="s">
        <v>31</v>
      </c>
      <c r="G126" s="408" t="s">
        <v>31</v>
      </c>
      <c r="H126" s="409" t="s">
        <v>31</v>
      </c>
      <c r="I126" s="342" t="str">
        <f t="shared" ref="I126:AL126" si="16">IF(I13&gt;=I14,"OK","BŁĄD")</f>
        <v>OK</v>
      </c>
      <c r="J126" s="335" t="str">
        <f t="shared" si="16"/>
        <v>OK</v>
      </c>
      <c r="K126" s="335" t="str">
        <f t="shared" si="16"/>
        <v>OK</v>
      </c>
      <c r="L126" s="335" t="str">
        <f t="shared" si="16"/>
        <v>OK</v>
      </c>
      <c r="M126" s="335" t="str">
        <f t="shared" si="16"/>
        <v>OK</v>
      </c>
      <c r="N126" s="335" t="str">
        <f t="shared" si="16"/>
        <v>OK</v>
      </c>
      <c r="O126" s="335" t="str">
        <f t="shared" si="16"/>
        <v>OK</v>
      </c>
      <c r="P126" s="335" t="str">
        <f t="shared" si="16"/>
        <v>OK</v>
      </c>
      <c r="Q126" s="335" t="str">
        <f t="shared" si="16"/>
        <v>OK</v>
      </c>
      <c r="R126" s="335" t="str">
        <f t="shared" si="16"/>
        <v>OK</v>
      </c>
      <c r="S126" s="335" t="str">
        <f t="shared" si="16"/>
        <v>OK</v>
      </c>
      <c r="T126" s="335" t="str">
        <f t="shared" si="16"/>
        <v>OK</v>
      </c>
      <c r="U126" s="335" t="str">
        <f t="shared" si="16"/>
        <v>OK</v>
      </c>
      <c r="V126" s="335" t="str">
        <f t="shared" si="16"/>
        <v>OK</v>
      </c>
      <c r="W126" s="335" t="str">
        <f t="shared" si="16"/>
        <v>OK</v>
      </c>
      <c r="X126" s="335" t="str">
        <f t="shared" si="16"/>
        <v>OK</v>
      </c>
      <c r="Y126" s="335" t="str">
        <f t="shared" si="16"/>
        <v>OK</v>
      </c>
      <c r="Z126" s="335" t="str">
        <f t="shared" si="16"/>
        <v>OK</v>
      </c>
      <c r="AA126" s="335" t="str">
        <f t="shared" si="16"/>
        <v>OK</v>
      </c>
      <c r="AB126" s="335" t="str">
        <f t="shared" si="16"/>
        <v>OK</v>
      </c>
      <c r="AC126" s="335" t="str">
        <f t="shared" si="16"/>
        <v>OK</v>
      </c>
      <c r="AD126" s="335" t="str">
        <f t="shared" si="16"/>
        <v>OK</v>
      </c>
      <c r="AE126" s="335" t="str">
        <f t="shared" si="16"/>
        <v>OK</v>
      </c>
      <c r="AF126" s="335" t="str">
        <f t="shared" si="16"/>
        <v>OK</v>
      </c>
      <c r="AG126" s="335" t="str">
        <f t="shared" si="16"/>
        <v>OK</v>
      </c>
      <c r="AH126" s="335" t="str">
        <f t="shared" si="16"/>
        <v>OK</v>
      </c>
      <c r="AI126" s="335" t="str">
        <f t="shared" si="16"/>
        <v>OK</v>
      </c>
      <c r="AJ126" s="335" t="str">
        <f t="shared" si="16"/>
        <v>OK</v>
      </c>
      <c r="AK126" s="335" t="str">
        <f t="shared" si="16"/>
        <v>OK</v>
      </c>
      <c r="AL126" s="336" t="str">
        <f t="shared" si="16"/>
        <v>OK</v>
      </c>
      <c r="AM126" s="22"/>
    </row>
    <row r="127" spans="2:39" hidden="1" outlineLevel="2">
      <c r="B127" s="360" t="s">
        <v>292</v>
      </c>
      <c r="C127" s="361"/>
      <c r="D127" s="89" t="s">
        <v>343</v>
      </c>
      <c r="E127" s="407" t="s">
        <v>31</v>
      </c>
      <c r="F127" s="408" t="s">
        <v>31</v>
      </c>
      <c r="G127" s="408" t="s">
        <v>31</v>
      </c>
      <c r="H127" s="409" t="s">
        <v>31</v>
      </c>
      <c r="I127" s="342" t="str">
        <f t="shared" ref="I127:AL127" si="17">IF(I13&gt;=I15,"OK","BŁĄD")</f>
        <v>OK</v>
      </c>
      <c r="J127" s="335" t="str">
        <f t="shared" si="17"/>
        <v>OK</v>
      </c>
      <c r="K127" s="335" t="str">
        <f t="shared" si="17"/>
        <v>OK</v>
      </c>
      <c r="L127" s="335" t="str">
        <f t="shared" si="17"/>
        <v>OK</v>
      </c>
      <c r="M127" s="335" t="str">
        <f t="shared" si="17"/>
        <v>OK</v>
      </c>
      <c r="N127" s="335" t="str">
        <f t="shared" si="17"/>
        <v>OK</v>
      </c>
      <c r="O127" s="335" t="str">
        <f t="shared" si="17"/>
        <v>OK</v>
      </c>
      <c r="P127" s="335" t="str">
        <f t="shared" si="17"/>
        <v>OK</v>
      </c>
      <c r="Q127" s="335" t="str">
        <f t="shared" si="17"/>
        <v>OK</v>
      </c>
      <c r="R127" s="335" t="str">
        <f t="shared" si="17"/>
        <v>OK</v>
      </c>
      <c r="S127" s="335" t="str">
        <f t="shared" si="17"/>
        <v>OK</v>
      </c>
      <c r="T127" s="335" t="str">
        <f t="shared" si="17"/>
        <v>OK</v>
      </c>
      <c r="U127" s="335" t="str">
        <f t="shared" si="17"/>
        <v>OK</v>
      </c>
      <c r="V127" s="335" t="str">
        <f t="shared" si="17"/>
        <v>OK</v>
      </c>
      <c r="W127" s="335" t="str">
        <f t="shared" si="17"/>
        <v>OK</v>
      </c>
      <c r="X127" s="335" t="str">
        <f t="shared" si="17"/>
        <v>OK</v>
      </c>
      <c r="Y127" s="335" t="str">
        <f t="shared" si="17"/>
        <v>OK</v>
      </c>
      <c r="Z127" s="335" t="str">
        <f t="shared" si="17"/>
        <v>OK</v>
      </c>
      <c r="AA127" s="335" t="str">
        <f t="shared" si="17"/>
        <v>OK</v>
      </c>
      <c r="AB127" s="335" t="str">
        <f t="shared" si="17"/>
        <v>OK</v>
      </c>
      <c r="AC127" s="335" t="str">
        <f t="shared" si="17"/>
        <v>OK</v>
      </c>
      <c r="AD127" s="335" t="str">
        <f t="shared" si="17"/>
        <v>OK</v>
      </c>
      <c r="AE127" s="335" t="str">
        <f t="shared" si="17"/>
        <v>OK</v>
      </c>
      <c r="AF127" s="335" t="str">
        <f t="shared" si="17"/>
        <v>OK</v>
      </c>
      <c r="AG127" s="335" t="str">
        <f t="shared" si="17"/>
        <v>OK</v>
      </c>
      <c r="AH127" s="335" t="str">
        <f t="shared" si="17"/>
        <v>OK</v>
      </c>
      <c r="AI127" s="335" t="str">
        <f t="shared" si="17"/>
        <v>OK</v>
      </c>
      <c r="AJ127" s="335" t="str">
        <f t="shared" si="17"/>
        <v>OK</v>
      </c>
      <c r="AK127" s="335" t="str">
        <f t="shared" si="17"/>
        <v>OK</v>
      </c>
      <c r="AL127" s="336" t="str">
        <f t="shared" si="17"/>
        <v>OK</v>
      </c>
      <c r="AM127" s="22"/>
    </row>
    <row r="128" spans="2:39" hidden="1" outlineLevel="2">
      <c r="B128" s="360" t="s">
        <v>293</v>
      </c>
      <c r="C128" s="361"/>
      <c r="D128" s="89" t="s">
        <v>344</v>
      </c>
      <c r="E128" s="407" t="s">
        <v>31</v>
      </c>
      <c r="F128" s="408" t="s">
        <v>31</v>
      </c>
      <c r="G128" s="408" t="s">
        <v>31</v>
      </c>
      <c r="H128" s="409" t="s">
        <v>31</v>
      </c>
      <c r="I128" s="342" t="str">
        <f t="shared" ref="I128:AL128" si="18">IF(I13&gt;=I75,"OK","BŁĄD")</f>
        <v>OK</v>
      </c>
      <c r="J128" s="335" t="str">
        <f t="shared" si="18"/>
        <v>OK</v>
      </c>
      <c r="K128" s="335" t="str">
        <f t="shared" si="18"/>
        <v>OK</v>
      </c>
      <c r="L128" s="335" t="str">
        <f t="shared" si="18"/>
        <v>OK</v>
      </c>
      <c r="M128" s="335" t="str">
        <f t="shared" si="18"/>
        <v>OK</v>
      </c>
      <c r="N128" s="335" t="str">
        <f t="shared" si="18"/>
        <v>OK</v>
      </c>
      <c r="O128" s="335" t="str">
        <f t="shared" si="18"/>
        <v>OK</v>
      </c>
      <c r="P128" s="335" t="str">
        <f t="shared" si="18"/>
        <v>OK</v>
      </c>
      <c r="Q128" s="335" t="str">
        <f t="shared" si="18"/>
        <v>OK</v>
      </c>
      <c r="R128" s="335" t="str">
        <f t="shared" si="18"/>
        <v>OK</v>
      </c>
      <c r="S128" s="335" t="str">
        <f t="shared" si="18"/>
        <v>OK</v>
      </c>
      <c r="T128" s="335" t="str">
        <f t="shared" si="18"/>
        <v>OK</v>
      </c>
      <c r="U128" s="335" t="str">
        <f t="shared" si="18"/>
        <v>OK</v>
      </c>
      <c r="V128" s="335" t="str">
        <f t="shared" si="18"/>
        <v>OK</v>
      </c>
      <c r="W128" s="335" t="str">
        <f t="shared" si="18"/>
        <v>OK</v>
      </c>
      <c r="X128" s="335" t="str">
        <f t="shared" si="18"/>
        <v>OK</v>
      </c>
      <c r="Y128" s="335" t="str">
        <f t="shared" si="18"/>
        <v>OK</v>
      </c>
      <c r="Z128" s="335" t="str">
        <f t="shared" si="18"/>
        <v>OK</v>
      </c>
      <c r="AA128" s="335" t="str">
        <f t="shared" si="18"/>
        <v>OK</v>
      </c>
      <c r="AB128" s="335" t="str">
        <f t="shared" si="18"/>
        <v>OK</v>
      </c>
      <c r="AC128" s="335" t="str">
        <f t="shared" si="18"/>
        <v>OK</v>
      </c>
      <c r="AD128" s="335" t="str">
        <f t="shared" si="18"/>
        <v>OK</v>
      </c>
      <c r="AE128" s="335" t="str">
        <f t="shared" si="18"/>
        <v>OK</v>
      </c>
      <c r="AF128" s="335" t="str">
        <f t="shared" si="18"/>
        <v>OK</v>
      </c>
      <c r="AG128" s="335" t="str">
        <f t="shared" si="18"/>
        <v>OK</v>
      </c>
      <c r="AH128" s="335" t="str">
        <f t="shared" si="18"/>
        <v>OK</v>
      </c>
      <c r="AI128" s="335" t="str">
        <f t="shared" si="18"/>
        <v>OK</v>
      </c>
      <c r="AJ128" s="335" t="str">
        <f t="shared" si="18"/>
        <v>OK</v>
      </c>
      <c r="AK128" s="335" t="str">
        <f t="shared" si="18"/>
        <v>OK</v>
      </c>
      <c r="AL128" s="336" t="str">
        <f t="shared" si="18"/>
        <v>OK</v>
      </c>
      <c r="AM128" s="22"/>
    </row>
    <row r="129" spans="2:39" hidden="1" outlineLevel="2">
      <c r="B129" s="360" t="s">
        <v>294</v>
      </c>
      <c r="C129" s="361"/>
      <c r="D129" s="89" t="s">
        <v>345</v>
      </c>
      <c r="E129" s="407" t="s">
        <v>31</v>
      </c>
      <c r="F129" s="408" t="s">
        <v>31</v>
      </c>
      <c r="G129" s="408" t="s">
        <v>31</v>
      </c>
      <c r="H129" s="409" t="s">
        <v>31</v>
      </c>
      <c r="I129" s="342" t="str">
        <f t="shared" ref="I129:AL129" si="19">IF(I60&gt;=I61,"OK","BŁĄD")</f>
        <v>OK</v>
      </c>
      <c r="J129" s="335" t="str">
        <f t="shared" si="19"/>
        <v>OK</v>
      </c>
      <c r="K129" s="335" t="str">
        <f t="shared" si="19"/>
        <v>OK</v>
      </c>
      <c r="L129" s="335" t="str">
        <f t="shared" si="19"/>
        <v>OK</v>
      </c>
      <c r="M129" s="335" t="str">
        <f t="shared" si="19"/>
        <v>OK</v>
      </c>
      <c r="N129" s="335" t="str">
        <f t="shared" si="19"/>
        <v>OK</v>
      </c>
      <c r="O129" s="335" t="str">
        <f t="shared" si="19"/>
        <v>OK</v>
      </c>
      <c r="P129" s="335" t="str">
        <f t="shared" si="19"/>
        <v>OK</v>
      </c>
      <c r="Q129" s="335" t="str">
        <f t="shared" si="19"/>
        <v>OK</v>
      </c>
      <c r="R129" s="335" t="str">
        <f t="shared" si="19"/>
        <v>OK</v>
      </c>
      <c r="S129" s="335" t="str">
        <f t="shared" si="19"/>
        <v>OK</v>
      </c>
      <c r="T129" s="335" t="str">
        <f t="shared" si="19"/>
        <v>OK</v>
      </c>
      <c r="U129" s="335" t="str">
        <f t="shared" si="19"/>
        <v>OK</v>
      </c>
      <c r="V129" s="335" t="str">
        <f t="shared" si="19"/>
        <v>OK</v>
      </c>
      <c r="W129" s="335" t="str">
        <f t="shared" si="19"/>
        <v>OK</v>
      </c>
      <c r="X129" s="335" t="str">
        <f t="shared" si="19"/>
        <v>OK</v>
      </c>
      <c r="Y129" s="335" t="str">
        <f t="shared" si="19"/>
        <v>OK</v>
      </c>
      <c r="Z129" s="335" t="str">
        <f t="shared" si="19"/>
        <v>OK</v>
      </c>
      <c r="AA129" s="335" t="str">
        <f t="shared" si="19"/>
        <v>OK</v>
      </c>
      <c r="AB129" s="335" t="str">
        <f t="shared" si="19"/>
        <v>OK</v>
      </c>
      <c r="AC129" s="335" t="str">
        <f t="shared" si="19"/>
        <v>OK</v>
      </c>
      <c r="AD129" s="335" t="str">
        <f t="shared" si="19"/>
        <v>OK</v>
      </c>
      <c r="AE129" s="335" t="str">
        <f t="shared" si="19"/>
        <v>OK</v>
      </c>
      <c r="AF129" s="335" t="str">
        <f t="shared" si="19"/>
        <v>OK</v>
      </c>
      <c r="AG129" s="335" t="str">
        <f t="shared" si="19"/>
        <v>OK</v>
      </c>
      <c r="AH129" s="335" t="str">
        <f t="shared" si="19"/>
        <v>OK</v>
      </c>
      <c r="AI129" s="335" t="str">
        <f t="shared" si="19"/>
        <v>OK</v>
      </c>
      <c r="AJ129" s="335" t="str">
        <f t="shared" si="19"/>
        <v>OK</v>
      </c>
      <c r="AK129" s="335" t="str">
        <f t="shared" si="19"/>
        <v>OK</v>
      </c>
      <c r="AL129" s="336" t="str">
        <f t="shared" si="19"/>
        <v>OK</v>
      </c>
      <c r="AM129" s="22"/>
    </row>
    <row r="130" spans="2:39" hidden="1" outlineLevel="2">
      <c r="B130" s="360" t="s">
        <v>296</v>
      </c>
      <c r="C130" s="361"/>
      <c r="D130" s="89" t="s">
        <v>347</v>
      </c>
      <c r="E130" s="407" t="s">
        <v>31</v>
      </c>
      <c r="F130" s="408" t="s">
        <v>31</v>
      </c>
      <c r="G130" s="408" t="s">
        <v>31</v>
      </c>
      <c r="H130" s="409" t="s">
        <v>31</v>
      </c>
      <c r="I130" s="342" t="str">
        <f t="shared" ref="I130:AL130" si="20">IF(I72&gt;=I73,"OK","BŁĄD")</f>
        <v>OK</v>
      </c>
      <c r="J130" s="335" t="str">
        <f t="shared" si="20"/>
        <v>OK</v>
      </c>
      <c r="K130" s="335" t="str">
        <f t="shared" si="20"/>
        <v>OK</v>
      </c>
      <c r="L130" s="335" t="str">
        <f t="shared" si="20"/>
        <v>OK</v>
      </c>
      <c r="M130" s="335" t="str">
        <f t="shared" si="20"/>
        <v>OK</v>
      </c>
      <c r="N130" s="335" t="str">
        <f t="shared" si="20"/>
        <v>OK</v>
      </c>
      <c r="O130" s="335" t="str">
        <f t="shared" si="20"/>
        <v>OK</v>
      </c>
      <c r="P130" s="335" t="str">
        <f t="shared" si="20"/>
        <v>OK</v>
      </c>
      <c r="Q130" s="335" t="str">
        <f t="shared" si="20"/>
        <v>OK</v>
      </c>
      <c r="R130" s="335" t="str">
        <f t="shared" si="20"/>
        <v>OK</v>
      </c>
      <c r="S130" s="335" t="str">
        <f t="shared" si="20"/>
        <v>OK</v>
      </c>
      <c r="T130" s="335" t="str">
        <f t="shared" si="20"/>
        <v>OK</v>
      </c>
      <c r="U130" s="335" t="str">
        <f t="shared" si="20"/>
        <v>OK</v>
      </c>
      <c r="V130" s="335" t="str">
        <f t="shared" si="20"/>
        <v>OK</v>
      </c>
      <c r="W130" s="335" t="str">
        <f t="shared" si="20"/>
        <v>OK</v>
      </c>
      <c r="X130" s="335" t="str">
        <f t="shared" si="20"/>
        <v>OK</v>
      </c>
      <c r="Y130" s="335" t="str">
        <f t="shared" si="20"/>
        <v>OK</v>
      </c>
      <c r="Z130" s="335" t="str">
        <f t="shared" si="20"/>
        <v>OK</v>
      </c>
      <c r="AA130" s="335" t="str">
        <f t="shared" si="20"/>
        <v>OK</v>
      </c>
      <c r="AB130" s="335" t="str">
        <f t="shared" si="20"/>
        <v>OK</v>
      </c>
      <c r="AC130" s="335" t="str">
        <f t="shared" si="20"/>
        <v>OK</v>
      </c>
      <c r="AD130" s="335" t="str">
        <f t="shared" si="20"/>
        <v>OK</v>
      </c>
      <c r="AE130" s="335" t="str">
        <f t="shared" si="20"/>
        <v>OK</v>
      </c>
      <c r="AF130" s="335" t="str">
        <f t="shared" si="20"/>
        <v>OK</v>
      </c>
      <c r="AG130" s="335" t="str">
        <f t="shared" si="20"/>
        <v>OK</v>
      </c>
      <c r="AH130" s="335" t="str">
        <f t="shared" si="20"/>
        <v>OK</v>
      </c>
      <c r="AI130" s="335" t="str">
        <f t="shared" si="20"/>
        <v>OK</v>
      </c>
      <c r="AJ130" s="335" t="str">
        <f t="shared" si="20"/>
        <v>OK</v>
      </c>
      <c r="AK130" s="335" t="str">
        <f t="shared" si="20"/>
        <v>OK</v>
      </c>
      <c r="AL130" s="336" t="str">
        <f t="shared" si="20"/>
        <v>OK</v>
      </c>
      <c r="AM130" s="22"/>
    </row>
    <row r="131" spans="2:39" hidden="1" outlineLevel="2">
      <c r="B131" s="360" t="s">
        <v>295</v>
      </c>
      <c r="C131" s="361"/>
      <c r="D131" s="89" t="s">
        <v>346</v>
      </c>
      <c r="E131" s="407" t="s">
        <v>31</v>
      </c>
      <c r="F131" s="408" t="s">
        <v>31</v>
      </c>
      <c r="G131" s="408" t="s">
        <v>31</v>
      </c>
      <c r="H131" s="409" t="s">
        <v>31</v>
      </c>
      <c r="I131" s="342" t="str">
        <f t="shared" ref="I131:AL131" si="21">IF(I73&gt;=I74,"OK","BŁĄD")</f>
        <v>OK</v>
      </c>
      <c r="J131" s="335" t="str">
        <f t="shared" si="21"/>
        <v>OK</v>
      </c>
      <c r="K131" s="335" t="str">
        <f t="shared" si="21"/>
        <v>OK</v>
      </c>
      <c r="L131" s="335" t="str">
        <f t="shared" si="21"/>
        <v>OK</v>
      </c>
      <c r="M131" s="335" t="str">
        <f t="shared" si="21"/>
        <v>OK</v>
      </c>
      <c r="N131" s="335" t="str">
        <f t="shared" si="21"/>
        <v>OK</v>
      </c>
      <c r="O131" s="335" t="str">
        <f t="shared" si="21"/>
        <v>OK</v>
      </c>
      <c r="P131" s="335" t="str">
        <f t="shared" si="21"/>
        <v>OK</v>
      </c>
      <c r="Q131" s="335" t="str">
        <f t="shared" si="21"/>
        <v>OK</v>
      </c>
      <c r="R131" s="335" t="str">
        <f t="shared" si="21"/>
        <v>OK</v>
      </c>
      <c r="S131" s="335" t="str">
        <f t="shared" si="21"/>
        <v>OK</v>
      </c>
      <c r="T131" s="335" t="str">
        <f t="shared" si="21"/>
        <v>OK</v>
      </c>
      <c r="U131" s="335" t="str">
        <f t="shared" si="21"/>
        <v>OK</v>
      </c>
      <c r="V131" s="335" t="str">
        <f t="shared" si="21"/>
        <v>OK</v>
      </c>
      <c r="W131" s="335" t="str">
        <f t="shared" si="21"/>
        <v>OK</v>
      </c>
      <c r="X131" s="335" t="str">
        <f t="shared" si="21"/>
        <v>OK</v>
      </c>
      <c r="Y131" s="335" t="str">
        <f t="shared" si="21"/>
        <v>OK</v>
      </c>
      <c r="Z131" s="335" t="str">
        <f t="shared" si="21"/>
        <v>OK</v>
      </c>
      <c r="AA131" s="335" t="str">
        <f t="shared" si="21"/>
        <v>OK</v>
      </c>
      <c r="AB131" s="335" t="str">
        <f t="shared" si="21"/>
        <v>OK</v>
      </c>
      <c r="AC131" s="335" t="str">
        <f t="shared" si="21"/>
        <v>OK</v>
      </c>
      <c r="AD131" s="335" t="str">
        <f t="shared" si="21"/>
        <v>OK</v>
      </c>
      <c r="AE131" s="335" t="str">
        <f t="shared" si="21"/>
        <v>OK</v>
      </c>
      <c r="AF131" s="335" t="str">
        <f t="shared" si="21"/>
        <v>OK</v>
      </c>
      <c r="AG131" s="335" t="str">
        <f t="shared" si="21"/>
        <v>OK</v>
      </c>
      <c r="AH131" s="335" t="str">
        <f t="shared" si="21"/>
        <v>OK</v>
      </c>
      <c r="AI131" s="335" t="str">
        <f t="shared" si="21"/>
        <v>OK</v>
      </c>
      <c r="AJ131" s="335" t="str">
        <f t="shared" si="21"/>
        <v>OK</v>
      </c>
      <c r="AK131" s="335" t="str">
        <f t="shared" si="21"/>
        <v>OK</v>
      </c>
      <c r="AL131" s="336" t="str">
        <f t="shared" si="21"/>
        <v>OK</v>
      </c>
      <c r="AM131" s="22"/>
    </row>
    <row r="132" spans="2:39" hidden="1" outlineLevel="2">
      <c r="B132" s="360" t="s">
        <v>298</v>
      </c>
      <c r="C132" s="361"/>
      <c r="D132" s="89" t="s">
        <v>349</v>
      </c>
      <c r="E132" s="407" t="s">
        <v>31</v>
      </c>
      <c r="F132" s="408" t="s">
        <v>31</v>
      </c>
      <c r="G132" s="408" t="s">
        <v>31</v>
      </c>
      <c r="H132" s="409" t="s">
        <v>31</v>
      </c>
      <c r="I132" s="342" t="str">
        <f t="shared" ref="I132:AL132" si="22">IF(I75&gt;=I76,"OK","BŁĄD")</f>
        <v>OK</v>
      </c>
      <c r="J132" s="335" t="str">
        <f t="shared" si="22"/>
        <v>OK</v>
      </c>
      <c r="K132" s="335" t="str">
        <f t="shared" si="22"/>
        <v>OK</v>
      </c>
      <c r="L132" s="335" t="str">
        <f t="shared" si="22"/>
        <v>OK</v>
      </c>
      <c r="M132" s="335" t="str">
        <f t="shared" si="22"/>
        <v>OK</v>
      </c>
      <c r="N132" s="335" t="str">
        <f t="shared" si="22"/>
        <v>OK</v>
      </c>
      <c r="O132" s="335" t="str">
        <f t="shared" si="22"/>
        <v>OK</v>
      </c>
      <c r="P132" s="335" t="str">
        <f t="shared" si="22"/>
        <v>OK</v>
      </c>
      <c r="Q132" s="335" t="str">
        <f t="shared" si="22"/>
        <v>OK</v>
      </c>
      <c r="R132" s="335" t="str">
        <f t="shared" si="22"/>
        <v>OK</v>
      </c>
      <c r="S132" s="335" t="str">
        <f t="shared" si="22"/>
        <v>OK</v>
      </c>
      <c r="T132" s="335" t="str">
        <f t="shared" si="22"/>
        <v>OK</v>
      </c>
      <c r="U132" s="335" t="str">
        <f t="shared" si="22"/>
        <v>OK</v>
      </c>
      <c r="V132" s="335" t="str">
        <f t="shared" si="22"/>
        <v>OK</v>
      </c>
      <c r="W132" s="335" t="str">
        <f t="shared" si="22"/>
        <v>OK</v>
      </c>
      <c r="X132" s="335" t="str">
        <f t="shared" si="22"/>
        <v>OK</v>
      </c>
      <c r="Y132" s="335" t="str">
        <f t="shared" si="22"/>
        <v>OK</v>
      </c>
      <c r="Z132" s="335" t="str">
        <f t="shared" si="22"/>
        <v>OK</v>
      </c>
      <c r="AA132" s="335" t="str">
        <f t="shared" si="22"/>
        <v>OK</v>
      </c>
      <c r="AB132" s="335" t="str">
        <f t="shared" si="22"/>
        <v>OK</v>
      </c>
      <c r="AC132" s="335" t="str">
        <f t="shared" si="22"/>
        <v>OK</v>
      </c>
      <c r="AD132" s="335" t="str">
        <f t="shared" si="22"/>
        <v>OK</v>
      </c>
      <c r="AE132" s="335" t="str">
        <f t="shared" si="22"/>
        <v>OK</v>
      </c>
      <c r="AF132" s="335" t="str">
        <f t="shared" si="22"/>
        <v>OK</v>
      </c>
      <c r="AG132" s="335" t="str">
        <f t="shared" si="22"/>
        <v>OK</v>
      </c>
      <c r="AH132" s="335" t="str">
        <f t="shared" si="22"/>
        <v>OK</v>
      </c>
      <c r="AI132" s="335" t="str">
        <f t="shared" si="22"/>
        <v>OK</v>
      </c>
      <c r="AJ132" s="335" t="str">
        <f t="shared" si="22"/>
        <v>OK</v>
      </c>
      <c r="AK132" s="335" t="str">
        <f t="shared" si="22"/>
        <v>OK</v>
      </c>
      <c r="AL132" s="336" t="str">
        <f t="shared" si="22"/>
        <v>OK</v>
      </c>
      <c r="AM132" s="22"/>
    </row>
    <row r="133" spans="2:39" hidden="1" outlineLevel="2">
      <c r="B133" s="360" t="s">
        <v>297</v>
      </c>
      <c r="C133" s="361"/>
      <c r="D133" s="89" t="s">
        <v>348</v>
      </c>
      <c r="E133" s="407" t="s">
        <v>31</v>
      </c>
      <c r="F133" s="408" t="s">
        <v>31</v>
      </c>
      <c r="G133" s="408" t="s">
        <v>31</v>
      </c>
      <c r="H133" s="409" t="s">
        <v>31</v>
      </c>
      <c r="I133" s="342" t="str">
        <f t="shared" ref="I133:AL133" si="23">IF(I76&gt;=I77,"OK","BŁĄD")</f>
        <v>OK</v>
      </c>
      <c r="J133" s="335" t="str">
        <f t="shared" si="23"/>
        <v>OK</v>
      </c>
      <c r="K133" s="335" t="str">
        <f t="shared" si="23"/>
        <v>OK</v>
      </c>
      <c r="L133" s="335" t="str">
        <f t="shared" si="23"/>
        <v>OK</v>
      </c>
      <c r="M133" s="335" t="str">
        <f t="shared" si="23"/>
        <v>OK</v>
      </c>
      <c r="N133" s="335" t="str">
        <f t="shared" si="23"/>
        <v>OK</v>
      </c>
      <c r="O133" s="335" t="str">
        <f t="shared" si="23"/>
        <v>OK</v>
      </c>
      <c r="P133" s="335" t="str">
        <f t="shared" si="23"/>
        <v>OK</v>
      </c>
      <c r="Q133" s="335" t="str">
        <f t="shared" si="23"/>
        <v>OK</v>
      </c>
      <c r="R133" s="335" t="str">
        <f t="shared" si="23"/>
        <v>OK</v>
      </c>
      <c r="S133" s="335" t="str">
        <f t="shared" si="23"/>
        <v>OK</v>
      </c>
      <c r="T133" s="335" t="str">
        <f t="shared" si="23"/>
        <v>OK</v>
      </c>
      <c r="U133" s="335" t="str">
        <f t="shared" si="23"/>
        <v>OK</v>
      </c>
      <c r="V133" s="335" t="str">
        <f t="shared" si="23"/>
        <v>OK</v>
      </c>
      <c r="W133" s="335" t="str">
        <f t="shared" si="23"/>
        <v>OK</v>
      </c>
      <c r="X133" s="335" t="str">
        <f t="shared" si="23"/>
        <v>OK</v>
      </c>
      <c r="Y133" s="335" t="str">
        <f t="shared" si="23"/>
        <v>OK</v>
      </c>
      <c r="Z133" s="335" t="str">
        <f t="shared" si="23"/>
        <v>OK</v>
      </c>
      <c r="AA133" s="335" t="str">
        <f t="shared" si="23"/>
        <v>OK</v>
      </c>
      <c r="AB133" s="335" t="str">
        <f t="shared" si="23"/>
        <v>OK</v>
      </c>
      <c r="AC133" s="335" t="str">
        <f t="shared" si="23"/>
        <v>OK</v>
      </c>
      <c r="AD133" s="335" t="str">
        <f t="shared" si="23"/>
        <v>OK</v>
      </c>
      <c r="AE133" s="335" t="str">
        <f t="shared" si="23"/>
        <v>OK</v>
      </c>
      <c r="AF133" s="335" t="str">
        <f t="shared" si="23"/>
        <v>OK</v>
      </c>
      <c r="AG133" s="335" t="str">
        <f t="shared" si="23"/>
        <v>OK</v>
      </c>
      <c r="AH133" s="335" t="str">
        <f t="shared" si="23"/>
        <v>OK</v>
      </c>
      <c r="AI133" s="335" t="str">
        <f t="shared" si="23"/>
        <v>OK</v>
      </c>
      <c r="AJ133" s="335" t="str">
        <f t="shared" si="23"/>
        <v>OK</v>
      </c>
      <c r="AK133" s="335" t="str">
        <f t="shared" si="23"/>
        <v>OK</v>
      </c>
      <c r="AL133" s="336" t="str">
        <f t="shared" si="23"/>
        <v>OK</v>
      </c>
      <c r="AM133" s="22"/>
    </row>
    <row r="134" spans="2:39" hidden="1" outlineLevel="2">
      <c r="B134" s="360" t="s">
        <v>299</v>
      </c>
      <c r="C134" s="361"/>
      <c r="D134" s="89" t="s">
        <v>350</v>
      </c>
      <c r="E134" s="407" t="s">
        <v>31</v>
      </c>
      <c r="F134" s="408" t="s">
        <v>31</v>
      </c>
      <c r="G134" s="408" t="s">
        <v>31</v>
      </c>
      <c r="H134" s="409" t="s">
        <v>31</v>
      </c>
      <c r="I134" s="342" t="str">
        <f t="shared" ref="I134:AL134" si="24">IF(I78&gt;=I79,"OK","BŁĄD")</f>
        <v>OK</v>
      </c>
      <c r="J134" s="335" t="str">
        <f t="shared" si="24"/>
        <v>OK</v>
      </c>
      <c r="K134" s="335" t="str">
        <f t="shared" si="24"/>
        <v>OK</v>
      </c>
      <c r="L134" s="335" t="str">
        <f t="shared" si="24"/>
        <v>OK</v>
      </c>
      <c r="M134" s="335" t="str">
        <f t="shared" si="24"/>
        <v>OK</v>
      </c>
      <c r="N134" s="335" t="str">
        <f t="shared" si="24"/>
        <v>OK</v>
      </c>
      <c r="O134" s="335" t="str">
        <f t="shared" si="24"/>
        <v>OK</v>
      </c>
      <c r="P134" s="335" t="str">
        <f t="shared" si="24"/>
        <v>OK</v>
      </c>
      <c r="Q134" s="335" t="str">
        <f t="shared" si="24"/>
        <v>OK</v>
      </c>
      <c r="R134" s="335" t="str">
        <f t="shared" si="24"/>
        <v>OK</v>
      </c>
      <c r="S134" s="335" t="str">
        <f t="shared" si="24"/>
        <v>OK</v>
      </c>
      <c r="T134" s="335" t="str">
        <f t="shared" si="24"/>
        <v>OK</v>
      </c>
      <c r="U134" s="335" t="str">
        <f t="shared" si="24"/>
        <v>OK</v>
      </c>
      <c r="V134" s="335" t="str">
        <f t="shared" si="24"/>
        <v>OK</v>
      </c>
      <c r="W134" s="335" t="str">
        <f t="shared" si="24"/>
        <v>OK</v>
      </c>
      <c r="X134" s="335" t="str">
        <f t="shared" si="24"/>
        <v>OK</v>
      </c>
      <c r="Y134" s="335" t="str">
        <f t="shared" si="24"/>
        <v>OK</v>
      </c>
      <c r="Z134" s="335" t="str">
        <f t="shared" si="24"/>
        <v>OK</v>
      </c>
      <c r="AA134" s="335" t="str">
        <f t="shared" si="24"/>
        <v>OK</v>
      </c>
      <c r="AB134" s="335" t="str">
        <f t="shared" si="24"/>
        <v>OK</v>
      </c>
      <c r="AC134" s="335" t="str">
        <f t="shared" si="24"/>
        <v>OK</v>
      </c>
      <c r="AD134" s="335" t="str">
        <f t="shared" si="24"/>
        <v>OK</v>
      </c>
      <c r="AE134" s="335" t="str">
        <f t="shared" si="24"/>
        <v>OK</v>
      </c>
      <c r="AF134" s="335" t="str">
        <f t="shared" si="24"/>
        <v>OK</v>
      </c>
      <c r="AG134" s="335" t="str">
        <f t="shared" si="24"/>
        <v>OK</v>
      </c>
      <c r="AH134" s="335" t="str">
        <f t="shared" si="24"/>
        <v>OK</v>
      </c>
      <c r="AI134" s="335" t="str">
        <f t="shared" si="24"/>
        <v>OK</v>
      </c>
      <c r="AJ134" s="335" t="str">
        <f t="shared" si="24"/>
        <v>OK</v>
      </c>
      <c r="AK134" s="335" t="str">
        <f t="shared" si="24"/>
        <v>OK</v>
      </c>
      <c r="AL134" s="336" t="str">
        <f t="shared" si="24"/>
        <v>OK</v>
      </c>
      <c r="AM134" s="22"/>
    </row>
    <row r="135" spans="2:39" hidden="1" outlineLevel="2">
      <c r="B135" s="360" t="s">
        <v>300</v>
      </c>
      <c r="C135" s="361"/>
      <c r="D135" s="89" t="s">
        <v>351</v>
      </c>
      <c r="E135" s="407" t="s">
        <v>31</v>
      </c>
      <c r="F135" s="408" t="s">
        <v>31</v>
      </c>
      <c r="G135" s="408" t="s">
        <v>31</v>
      </c>
      <c r="H135" s="409" t="s">
        <v>31</v>
      </c>
      <c r="I135" s="342" t="str">
        <f t="shared" ref="I135:AL135" si="25">IF(I78&gt;=I80,"OK","BŁĄD")</f>
        <v>OK</v>
      </c>
      <c r="J135" s="335" t="str">
        <f t="shared" si="25"/>
        <v>OK</v>
      </c>
      <c r="K135" s="335" t="str">
        <f t="shared" si="25"/>
        <v>OK</v>
      </c>
      <c r="L135" s="335" t="str">
        <f t="shared" si="25"/>
        <v>OK</v>
      </c>
      <c r="M135" s="335" t="str">
        <f t="shared" si="25"/>
        <v>OK</v>
      </c>
      <c r="N135" s="335" t="str">
        <f t="shared" si="25"/>
        <v>OK</v>
      </c>
      <c r="O135" s="335" t="str">
        <f t="shared" si="25"/>
        <v>OK</v>
      </c>
      <c r="P135" s="335" t="str">
        <f t="shared" si="25"/>
        <v>OK</v>
      </c>
      <c r="Q135" s="335" t="str">
        <f t="shared" si="25"/>
        <v>OK</v>
      </c>
      <c r="R135" s="335" t="str">
        <f t="shared" si="25"/>
        <v>OK</v>
      </c>
      <c r="S135" s="335" t="str">
        <f t="shared" si="25"/>
        <v>OK</v>
      </c>
      <c r="T135" s="335" t="str">
        <f t="shared" si="25"/>
        <v>OK</v>
      </c>
      <c r="U135" s="335" t="str">
        <f t="shared" si="25"/>
        <v>OK</v>
      </c>
      <c r="V135" s="335" t="str">
        <f t="shared" si="25"/>
        <v>OK</v>
      </c>
      <c r="W135" s="335" t="str">
        <f t="shared" si="25"/>
        <v>OK</v>
      </c>
      <c r="X135" s="335" t="str">
        <f t="shared" si="25"/>
        <v>OK</v>
      </c>
      <c r="Y135" s="335" t="str">
        <f t="shared" si="25"/>
        <v>OK</v>
      </c>
      <c r="Z135" s="335" t="str">
        <f t="shared" si="25"/>
        <v>OK</v>
      </c>
      <c r="AA135" s="335" t="str">
        <f t="shared" si="25"/>
        <v>OK</v>
      </c>
      <c r="AB135" s="335" t="str">
        <f t="shared" si="25"/>
        <v>OK</v>
      </c>
      <c r="AC135" s="335" t="str">
        <f t="shared" si="25"/>
        <v>OK</v>
      </c>
      <c r="AD135" s="335" t="str">
        <f t="shared" si="25"/>
        <v>OK</v>
      </c>
      <c r="AE135" s="335" t="str">
        <f t="shared" si="25"/>
        <v>OK</v>
      </c>
      <c r="AF135" s="335" t="str">
        <f t="shared" si="25"/>
        <v>OK</v>
      </c>
      <c r="AG135" s="335" t="str">
        <f t="shared" si="25"/>
        <v>OK</v>
      </c>
      <c r="AH135" s="335" t="str">
        <f t="shared" si="25"/>
        <v>OK</v>
      </c>
      <c r="AI135" s="335" t="str">
        <f t="shared" si="25"/>
        <v>OK</v>
      </c>
      <c r="AJ135" s="335" t="str">
        <f t="shared" si="25"/>
        <v>OK</v>
      </c>
      <c r="AK135" s="335" t="str">
        <f t="shared" si="25"/>
        <v>OK</v>
      </c>
      <c r="AL135" s="336" t="str">
        <f t="shared" si="25"/>
        <v>OK</v>
      </c>
      <c r="AM135" s="22"/>
    </row>
    <row r="136" spans="2:39" hidden="1" outlineLevel="2">
      <c r="B136" s="360" t="s">
        <v>301</v>
      </c>
      <c r="C136" s="361"/>
      <c r="D136" s="89" t="s">
        <v>352</v>
      </c>
      <c r="E136" s="407" t="s">
        <v>31</v>
      </c>
      <c r="F136" s="408" t="s">
        <v>31</v>
      </c>
      <c r="G136" s="408" t="s">
        <v>31</v>
      </c>
      <c r="H136" s="409" t="s">
        <v>31</v>
      </c>
      <c r="I136" s="342" t="str">
        <f t="shared" ref="I136:AL136" si="26">IF(I81&gt;=I82,"OK","BŁĄD")</f>
        <v>OK</v>
      </c>
      <c r="J136" s="335" t="str">
        <f t="shared" si="26"/>
        <v>OK</v>
      </c>
      <c r="K136" s="335" t="str">
        <f t="shared" si="26"/>
        <v>OK</v>
      </c>
      <c r="L136" s="335" t="str">
        <f t="shared" si="26"/>
        <v>OK</v>
      </c>
      <c r="M136" s="335" t="str">
        <f t="shared" si="26"/>
        <v>OK</v>
      </c>
      <c r="N136" s="335" t="str">
        <f t="shared" si="26"/>
        <v>OK</v>
      </c>
      <c r="O136" s="335" t="str">
        <f t="shared" si="26"/>
        <v>OK</v>
      </c>
      <c r="P136" s="335" t="str">
        <f t="shared" si="26"/>
        <v>OK</v>
      </c>
      <c r="Q136" s="335" t="str">
        <f t="shared" si="26"/>
        <v>OK</v>
      </c>
      <c r="R136" s="335" t="str">
        <f t="shared" si="26"/>
        <v>OK</v>
      </c>
      <c r="S136" s="335" t="str">
        <f t="shared" si="26"/>
        <v>OK</v>
      </c>
      <c r="T136" s="335" t="str">
        <f t="shared" si="26"/>
        <v>OK</v>
      </c>
      <c r="U136" s="335" t="str">
        <f t="shared" si="26"/>
        <v>OK</v>
      </c>
      <c r="V136" s="335" t="str">
        <f t="shared" si="26"/>
        <v>OK</v>
      </c>
      <c r="W136" s="335" t="str">
        <f t="shared" si="26"/>
        <v>OK</v>
      </c>
      <c r="X136" s="335" t="str">
        <f t="shared" si="26"/>
        <v>OK</v>
      </c>
      <c r="Y136" s="335" t="str">
        <f t="shared" si="26"/>
        <v>OK</v>
      </c>
      <c r="Z136" s="335" t="str">
        <f t="shared" si="26"/>
        <v>OK</v>
      </c>
      <c r="AA136" s="335" t="str">
        <f t="shared" si="26"/>
        <v>OK</v>
      </c>
      <c r="AB136" s="335" t="str">
        <f t="shared" si="26"/>
        <v>OK</v>
      </c>
      <c r="AC136" s="335" t="str">
        <f t="shared" si="26"/>
        <v>OK</v>
      </c>
      <c r="AD136" s="335" t="str">
        <f t="shared" si="26"/>
        <v>OK</v>
      </c>
      <c r="AE136" s="335" t="str">
        <f t="shared" si="26"/>
        <v>OK</v>
      </c>
      <c r="AF136" s="335" t="str">
        <f t="shared" si="26"/>
        <v>OK</v>
      </c>
      <c r="AG136" s="335" t="str">
        <f t="shared" si="26"/>
        <v>OK</v>
      </c>
      <c r="AH136" s="335" t="str">
        <f t="shared" si="26"/>
        <v>OK</v>
      </c>
      <c r="AI136" s="335" t="str">
        <f t="shared" si="26"/>
        <v>OK</v>
      </c>
      <c r="AJ136" s="335" t="str">
        <f t="shared" si="26"/>
        <v>OK</v>
      </c>
      <c r="AK136" s="335" t="str">
        <f t="shared" si="26"/>
        <v>OK</v>
      </c>
      <c r="AL136" s="336" t="str">
        <f t="shared" si="26"/>
        <v>OK</v>
      </c>
      <c r="AM136" s="22"/>
    </row>
    <row r="137" spans="2:39" hidden="1" outlineLevel="2">
      <c r="B137" s="360" t="s">
        <v>302</v>
      </c>
      <c r="C137" s="361"/>
      <c r="D137" s="89" t="s">
        <v>353</v>
      </c>
      <c r="E137" s="407" t="s">
        <v>31</v>
      </c>
      <c r="F137" s="408" t="s">
        <v>31</v>
      </c>
      <c r="G137" s="408" t="s">
        <v>31</v>
      </c>
      <c r="H137" s="409" t="s">
        <v>31</v>
      </c>
      <c r="I137" s="342" t="str">
        <f t="shared" ref="I137:AL137" si="27">IF(I81&gt;=I83,"OK","BŁĄD")</f>
        <v>OK</v>
      </c>
      <c r="J137" s="335" t="str">
        <f t="shared" si="27"/>
        <v>OK</v>
      </c>
      <c r="K137" s="335" t="str">
        <f t="shared" si="27"/>
        <v>OK</v>
      </c>
      <c r="L137" s="335" t="str">
        <f t="shared" si="27"/>
        <v>OK</v>
      </c>
      <c r="M137" s="335" t="str">
        <f t="shared" si="27"/>
        <v>OK</v>
      </c>
      <c r="N137" s="335" t="str">
        <f t="shared" si="27"/>
        <v>OK</v>
      </c>
      <c r="O137" s="335" t="str">
        <f t="shared" si="27"/>
        <v>OK</v>
      </c>
      <c r="P137" s="335" t="str">
        <f t="shared" si="27"/>
        <v>OK</v>
      </c>
      <c r="Q137" s="335" t="str">
        <f t="shared" si="27"/>
        <v>OK</v>
      </c>
      <c r="R137" s="335" t="str">
        <f t="shared" si="27"/>
        <v>OK</v>
      </c>
      <c r="S137" s="335" t="str">
        <f t="shared" si="27"/>
        <v>OK</v>
      </c>
      <c r="T137" s="335" t="str">
        <f t="shared" si="27"/>
        <v>OK</v>
      </c>
      <c r="U137" s="335" t="str">
        <f t="shared" si="27"/>
        <v>OK</v>
      </c>
      <c r="V137" s="335" t="str">
        <f t="shared" si="27"/>
        <v>OK</v>
      </c>
      <c r="W137" s="335" t="str">
        <f t="shared" si="27"/>
        <v>OK</v>
      </c>
      <c r="X137" s="335" t="str">
        <f t="shared" si="27"/>
        <v>OK</v>
      </c>
      <c r="Y137" s="335" t="str">
        <f t="shared" si="27"/>
        <v>OK</v>
      </c>
      <c r="Z137" s="335" t="str">
        <f t="shared" si="27"/>
        <v>OK</v>
      </c>
      <c r="AA137" s="335" t="str">
        <f t="shared" si="27"/>
        <v>OK</v>
      </c>
      <c r="AB137" s="335" t="str">
        <f t="shared" si="27"/>
        <v>OK</v>
      </c>
      <c r="AC137" s="335" t="str">
        <f t="shared" si="27"/>
        <v>OK</v>
      </c>
      <c r="AD137" s="335" t="str">
        <f t="shared" si="27"/>
        <v>OK</v>
      </c>
      <c r="AE137" s="335" t="str">
        <f t="shared" si="27"/>
        <v>OK</v>
      </c>
      <c r="AF137" s="335" t="str">
        <f t="shared" si="27"/>
        <v>OK</v>
      </c>
      <c r="AG137" s="335" t="str">
        <f t="shared" si="27"/>
        <v>OK</v>
      </c>
      <c r="AH137" s="335" t="str">
        <f t="shared" si="27"/>
        <v>OK</v>
      </c>
      <c r="AI137" s="335" t="str">
        <f t="shared" si="27"/>
        <v>OK</v>
      </c>
      <c r="AJ137" s="335" t="str">
        <f t="shared" si="27"/>
        <v>OK</v>
      </c>
      <c r="AK137" s="335" t="str">
        <f t="shared" si="27"/>
        <v>OK</v>
      </c>
      <c r="AL137" s="336" t="str">
        <f t="shared" si="27"/>
        <v>OK</v>
      </c>
      <c r="AM137" s="22"/>
    </row>
    <row r="138" spans="2:39" hidden="1" outlineLevel="2">
      <c r="B138" s="360" t="s">
        <v>303</v>
      </c>
      <c r="C138" s="361"/>
      <c r="D138" s="89" t="s">
        <v>354</v>
      </c>
      <c r="E138" s="407" t="s">
        <v>31</v>
      </c>
      <c r="F138" s="408" t="s">
        <v>31</v>
      </c>
      <c r="G138" s="408" t="s">
        <v>31</v>
      </c>
      <c r="H138" s="409" t="s">
        <v>31</v>
      </c>
      <c r="I138" s="342" t="str">
        <f t="shared" ref="I138:AL138" si="28">IF(I85&gt;=I87,"OK","BŁĄD")</f>
        <v>OK</v>
      </c>
      <c r="J138" s="335" t="str">
        <f t="shared" si="28"/>
        <v>OK</v>
      </c>
      <c r="K138" s="335" t="str">
        <f t="shared" si="28"/>
        <v>OK</v>
      </c>
      <c r="L138" s="335" t="str">
        <f t="shared" si="28"/>
        <v>OK</v>
      </c>
      <c r="M138" s="335" t="str">
        <f t="shared" si="28"/>
        <v>OK</v>
      </c>
      <c r="N138" s="335" t="str">
        <f t="shared" si="28"/>
        <v>OK</v>
      </c>
      <c r="O138" s="335" t="str">
        <f t="shared" si="28"/>
        <v>OK</v>
      </c>
      <c r="P138" s="335" t="str">
        <f t="shared" si="28"/>
        <v>OK</v>
      </c>
      <c r="Q138" s="335" t="str">
        <f t="shared" si="28"/>
        <v>OK</v>
      </c>
      <c r="R138" s="335" t="str">
        <f t="shared" si="28"/>
        <v>OK</v>
      </c>
      <c r="S138" s="335" t="str">
        <f t="shared" si="28"/>
        <v>OK</v>
      </c>
      <c r="T138" s="335" t="str">
        <f t="shared" si="28"/>
        <v>OK</v>
      </c>
      <c r="U138" s="335" t="str">
        <f t="shared" si="28"/>
        <v>OK</v>
      </c>
      <c r="V138" s="335" t="str">
        <f t="shared" si="28"/>
        <v>OK</v>
      </c>
      <c r="W138" s="335" t="str">
        <f t="shared" si="28"/>
        <v>OK</v>
      </c>
      <c r="X138" s="335" t="str">
        <f t="shared" si="28"/>
        <v>OK</v>
      </c>
      <c r="Y138" s="335" t="str">
        <f t="shared" si="28"/>
        <v>OK</v>
      </c>
      <c r="Z138" s="335" t="str">
        <f t="shared" si="28"/>
        <v>OK</v>
      </c>
      <c r="AA138" s="335" t="str">
        <f t="shared" si="28"/>
        <v>OK</v>
      </c>
      <c r="AB138" s="335" t="str">
        <f t="shared" si="28"/>
        <v>OK</v>
      </c>
      <c r="AC138" s="335" t="str">
        <f t="shared" si="28"/>
        <v>OK</v>
      </c>
      <c r="AD138" s="335" t="str">
        <f t="shared" si="28"/>
        <v>OK</v>
      </c>
      <c r="AE138" s="335" t="str">
        <f t="shared" si="28"/>
        <v>OK</v>
      </c>
      <c r="AF138" s="335" t="str">
        <f t="shared" si="28"/>
        <v>OK</v>
      </c>
      <c r="AG138" s="335" t="str">
        <f t="shared" si="28"/>
        <v>OK</v>
      </c>
      <c r="AH138" s="335" t="str">
        <f t="shared" si="28"/>
        <v>OK</v>
      </c>
      <c r="AI138" s="335" t="str">
        <f t="shared" si="28"/>
        <v>OK</v>
      </c>
      <c r="AJ138" s="335" t="str">
        <f t="shared" si="28"/>
        <v>OK</v>
      </c>
      <c r="AK138" s="335" t="str">
        <f t="shared" si="28"/>
        <v>OK</v>
      </c>
      <c r="AL138" s="336" t="str">
        <f t="shared" si="28"/>
        <v>OK</v>
      </c>
      <c r="AM138" s="22"/>
    </row>
    <row r="139" spans="2:39" hidden="1" outlineLevel="2">
      <c r="B139" s="360" t="s">
        <v>304</v>
      </c>
      <c r="C139" s="361"/>
      <c r="D139" s="89" t="s">
        <v>355</v>
      </c>
      <c r="E139" s="407" t="s">
        <v>31</v>
      </c>
      <c r="F139" s="408" t="s">
        <v>31</v>
      </c>
      <c r="G139" s="408" t="s">
        <v>31</v>
      </c>
      <c r="H139" s="409" t="s">
        <v>31</v>
      </c>
      <c r="I139" s="342" t="str">
        <f t="shared" ref="I139:AL139" si="29">IF(I88&gt;=I20,"OK","BŁĄD")</f>
        <v>OK</v>
      </c>
      <c r="J139" s="335" t="str">
        <f t="shared" si="29"/>
        <v>OK</v>
      </c>
      <c r="K139" s="335" t="str">
        <f t="shared" si="29"/>
        <v>OK</v>
      </c>
      <c r="L139" s="335" t="str">
        <f t="shared" si="29"/>
        <v>OK</v>
      </c>
      <c r="M139" s="335" t="str">
        <f t="shared" si="29"/>
        <v>OK</v>
      </c>
      <c r="N139" s="335" t="str">
        <f t="shared" si="29"/>
        <v>OK</v>
      </c>
      <c r="O139" s="335" t="str">
        <f t="shared" si="29"/>
        <v>OK</v>
      </c>
      <c r="P139" s="335" t="str">
        <f t="shared" si="29"/>
        <v>OK</v>
      </c>
      <c r="Q139" s="335" t="str">
        <f t="shared" si="29"/>
        <v>OK</v>
      </c>
      <c r="R139" s="335" t="str">
        <f t="shared" si="29"/>
        <v>OK</v>
      </c>
      <c r="S139" s="335" t="str">
        <f t="shared" si="29"/>
        <v>OK</v>
      </c>
      <c r="T139" s="335" t="str">
        <f t="shared" si="29"/>
        <v>OK</v>
      </c>
      <c r="U139" s="335" t="str">
        <f t="shared" si="29"/>
        <v>OK</v>
      </c>
      <c r="V139" s="335" t="str">
        <f t="shared" si="29"/>
        <v>OK</v>
      </c>
      <c r="W139" s="335" t="str">
        <f t="shared" si="29"/>
        <v>OK</v>
      </c>
      <c r="X139" s="335" t="str">
        <f t="shared" si="29"/>
        <v>OK</v>
      </c>
      <c r="Y139" s="335" t="str">
        <f t="shared" si="29"/>
        <v>OK</v>
      </c>
      <c r="Z139" s="335" t="str">
        <f t="shared" si="29"/>
        <v>OK</v>
      </c>
      <c r="AA139" s="335" t="str">
        <f t="shared" si="29"/>
        <v>OK</v>
      </c>
      <c r="AB139" s="335" t="str">
        <f t="shared" si="29"/>
        <v>OK</v>
      </c>
      <c r="AC139" s="335" t="str">
        <f t="shared" si="29"/>
        <v>OK</v>
      </c>
      <c r="AD139" s="335" t="str">
        <f t="shared" si="29"/>
        <v>OK</v>
      </c>
      <c r="AE139" s="335" t="str">
        <f t="shared" si="29"/>
        <v>OK</v>
      </c>
      <c r="AF139" s="335" t="str">
        <f t="shared" si="29"/>
        <v>OK</v>
      </c>
      <c r="AG139" s="335" t="str">
        <f t="shared" si="29"/>
        <v>OK</v>
      </c>
      <c r="AH139" s="335" t="str">
        <f t="shared" si="29"/>
        <v>OK</v>
      </c>
      <c r="AI139" s="335" t="str">
        <f t="shared" si="29"/>
        <v>OK</v>
      </c>
      <c r="AJ139" s="335" t="str">
        <f t="shared" si="29"/>
        <v>OK</v>
      </c>
      <c r="AK139" s="335" t="str">
        <f t="shared" si="29"/>
        <v>OK</v>
      </c>
      <c r="AL139" s="336" t="str">
        <f t="shared" si="29"/>
        <v>OK</v>
      </c>
      <c r="AM139" s="22"/>
    </row>
    <row r="140" spans="2:39" hidden="1" outlineLevel="2">
      <c r="B140" s="360" t="s">
        <v>305</v>
      </c>
      <c r="C140" s="361"/>
      <c r="D140" s="89" t="s">
        <v>356</v>
      </c>
      <c r="E140" s="407" t="s">
        <v>31</v>
      </c>
      <c r="F140" s="408" t="s">
        <v>31</v>
      </c>
      <c r="G140" s="408" t="s">
        <v>31</v>
      </c>
      <c r="H140" s="409" t="s">
        <v>31</v>
      </c>
      <c r="I140" s="342" t="str">
        <f t="shared" ref="I140:AL140" si="30">IF(I95&gt;=(I96+I97+I98),"OK","BŁĄD")</f>
        <v>OK</v>
      </c>
      <c r="J140" s="335" t="str">
        <f t="shared" si="30"/>
        <v>OK</v>
      </c>
      <c r="K140" s="335" t="str">
        <f t="shared" si="30"/>
        <v>OK</v>
      </c>
      <c r="L140" s="335" t="str">
        <f t="shared" si="30"/>
        <v>OK</v>
      </c>
      <c r="M140" s="335" t="str">
        <f t="shared" si="30"/>
        <v>OK</v>
      </c>
      <c r="N140" s="335" t="str">
        <f t="shared" si="30"/>
        <v>OK</v>
      </c>
      <c r="O140" s="335" t="str">
        <f t="shared" si="30"/>
        <v>OK</v>
      </c>
      <c r="P140" s="335" t="str">
        <f t="shared" si="30"/>
        <v>OK</v>
      </c>
      <c r="Q140" s="335" t="str">
        <f t="shared" si="30"/>
        <v>OK</v>
      </c>
      <c r="R140" s="335" t="str">
        <f t="shared" si="30"/>
        <v>OK</v>
      </c>
      <c r="S140" s="335" t="str">
        <f t="shared" si="30"/>
        <v>OK</v>
      </c>
      <c r="T140" s="335" t="str">
        <f t="shared" si="30"/>
        <v>OK</v>
      </c>
      <c r="U140" s="335" t="str">
        <f t="shared" si="30"/>
        <v>OK</v>
      </c>
      <c r="V140" s="335" t="str">
        <f t="shared" si="30"/>
        <v>OK</v>
      </c>
      <c r="W140" s="335" t="str">
        <f t="shared" si="30"/>
        <v>OK</v>
      </c>
      <c r="X140" s="335" t="str">
        <f t="shared" si="30"/>
        <v>OK</v>
      </c>
      <c r="Y140" s="335" t="str">
        <f t="shared" si="30"/>
        <v>OK</v>
      </c>
      <c r="Z140" s="335" t="str">
        <f t="shared" si="30"/>
        <v>OK</v>
      </c>
      <c r="AA140" s="335" t="str">
        <f t="shared" si="30"/>
        <v>OK</v>
      </c>
      <c r="AB140" s="335" t="str">
        <f t="shared" si="30"/>
        <v>OK</v>
      </c>
      <c r="AC140" s="335" t="str">
        <f t="shared" si="30"/>
        <v>OK</v>
      </c>
      <c r="AD140" s="335" t="str">
        <f t="shared" si="30"/>
        <v>OK</v>
      </c>
      <c r="AE140" s="335" t="str">
        <f t="shared" si="30"/>
        <v>OK</v>
      </c>
      <c r="AF140" s="335" t="str">
        <f t="shared" si="30"/>
        <v>OK</v>
      </c>
      <c r="AG140" s="335" t="str">
        <f t="shared" si="30"/>
        <v>OK</v>
      </c>
      <c r="AH140" s="335" t="str">
        <f t="shared" si="30"/>
        <v>OK</v>
      </c>
      <c r="AI140" s="335" t="str">
        <f t="shared" si="30"/>
        <v>OK</v>
      </c>
      <c r="AJ140" s="335" t="str">
        <f t="shared" si="30"/>
        <v>OK</v>
      </c>
      <c r="AK140" s="335" t="str">
        <f t="shared" si="30"/>
        <v>OK</v>
      </c>
      <c r="AL140" s="336" t="str">
        <f t="shared" si="30"/>
        <v>OK</v>
      </c>
      <c r="AM140" s="22"/>
    </row>
    <row r="141" spans="2:39" hidden="1" outlineLevel="2">
      <c r="B141" s="360" t="s">
        <v>307</v>
      </c>
      <c r="C141" s="361"/>
      <c r="D141" s="89" t="s">
        <v>358</v>
      </c>
      <c r="E141" s="407" t="s">
        <v>31</v>
      </c>
      <c r="F141" s="408" t="s">
        <v>31</v>
      </c>
      <c r="G141" s="408" t="s">
        <v>31</v>
      </c>
      <c r="H141" s="409" t="s">
        <v>31</v>
      </c>
      <c r="I141" s="342" t="str">
        <f t="shared" ref="I141:AL141" si="31">IF(I18&gt;=I19,"OK","BŁĄD")</f>
        <v>OK</v>
      </c>
      <c r="J141" s="335" t="str">
        <f t="shared" si="31"/>
        <v>OK</v>
      </c>
      <c r="K141" s="335" t="str">
        <f t="shared" si="31"/>
        <v>OK</v>
      </c>
      <c r="L141" s="335" t="str">
        <f t="shared" si="31"/>
        <v>OK</v>
      </c>
      <c r="M141" s="335" t="str">
        <f t="shared" si="31"/>
        <v>OK</v>
      </c>
      <c r="N141" s="335" t="str">
        <f t="shared" si="31"/>
        <v>OK</v>
      </c>
      <c r="O141" s="335" t="str">
        <f t="shared" si="31"/>
        <v>OK</v>
      </c>
      <c r="P141" s="335" t="str">
        <f t="shared" si="31"/>
        <v>OK</v>
      </c>
      <c r="Q141" s="335" t="str">
        <f t="shared" si="31"/>
        <v>OK</v>
      </c>
      <c r="R141" s="335" t="str">
        <f t="shared" si="31"/>
        <v>OK</v>
      </c>
      <c r="S141" s="335" t="str">
        <f t="shared" si="31"/>
        <v>OK</v>
      </c>
      <c r="T141" s="335" t="str">
        <f t="shared" si="31"/>
        <v>OK</v>
      </c>
      <c r="U141" s="335" t="str">
        <f t="shared" si="31"/>
        <v>OK</v>
      </c>
      <c r="V141" s="335" t="str">
        <f t="shared" si="31"/>
        <v>OK</v>
      </c>
      <c r="W141" s="335" t="str">
        <f t="shared" si="31"/>
        <v>OK</v>
      </c>
      <c r="X141" s="335" t="str">
        <f t="shared" si="31"/>
        <v>OK</v>
      </c>
      <c r="Y141" s="335" t="str">
        <f t="shared" si="31"/>
        <v>OK</v>
      </c>
      <c r="Z141" s="335" t="str">
        <f t="shared" si="31"/>
        <v>OK</v>
      </c>
      <c r="AA141" s="335" t="str">
        <f t="shared" si="31"/>
        <v>OK</v>
      </c>
      <c r="AB141" s="335" t="str">
        <f t="shared" si="31"/>
        <v>OK</v>
      </c>
      <c r="AC141" s="335" t="str">
        <f t="shared" si="31"/>
        <v>OK</v>
      </c>
      <c r="AD141" s="335" t="str">
        <f t="shared" si="31"/>
        <v>OK</v>
      </c>
      <c r="AE141" s="335" t="str">
        <f t="shared" si="31"/>
        <v>OK</v>
      </c>
      <c r="AF141" s="335" t="str">
        <f t="shared" si="31"/>
        <v>OK</v>
      </c>
      <c r="AG141" s="335" t="str">
        <f t="shared" si="31"/>
        <v>OK</v>
      </c>
      <c r="AH141" s="335" t="str">
        <f t="shared" si="31"/>
        <v>OK</v>
      </c>
      <c r="AI141" s="335" t="str">
        <f t="shared" si="31"/>
        <v>OK</v>
      </c>
      <c r="AJ141" s="335" t="str">
        <f t="shared" si="31"/>
        <v>OK</v>
      </c>
      <c r="AK141" s="335" t="str">
        <f t="shared" si="31"/>
        <v>OK</v>
      </c>
      <c r="AL141" s="336" t="str">
        <f t="shared" si="31"/>
        <v>OK</v>
      </c>
      <c r="AM141" s="22"/>
    </row>
    <row r="142" spans="2:39" hidden="1" outlineLevel="2">
      <c r="B142" s="360" t="s">
        <v>306</v>
      </c>
      <c r="C142" s="361"/>
      <c r="D142" s="89" t="s">
        <v>357</v>
      </c>
      <c r="E142" s="407" t="s">
        <v>31</v>
      </c>
      <c r="F142" s="408" t="s">
        <v>31</v>
      </c>
      <c r="G142" s="408" t="s">
        <v>31</v>
      </c>
      <c r="H142" s="409" t="s">
        <v>31</v>
      </c>
      <c r="I142" s="342" t="str">
        <f t="shared" ref="I142:AL142" si="32">IF(I18&gt;=I98,"OK","BŁĄD")</f>
        <v>OK</v>
      </c>
      <c r="J142" s="335" t="str">
        <f t="shared" si="32"/>
        <v>OK</v>
      </c>
      <c r="K142" s="335" t="str">
        <f t="shared" si="32"/>
        <v>OK</v>
      </c>
      <c r="L142" s="335" t="str">
        <f t="shared" si="32"/>
        <v>OK</v>
      </c>
      <c r="M142" s="335" t="str">
        <f t="shared" si="32"/>
        <v>OK</v>
      </c>
      <c r="N142" s="335" t="str">
        <f t="shared" si="32"/>
        <v>OK</v>
      </c>
      <c r="O142" s="335" t="str">
        <f t="shared" si="32"/>
        <v>OK</v>
      </c>
      <c r="P142" s="335" t="str">
        <f t="shared" si="32"/>
        <v>OK</v>
      </c>
      <c r="Q142" s="335" t="str">
        <f t="shared" si="32"/>
        <v>OK</v>
      </c>
      <c r="R142" s="335" t="str">
        <f t="shared" si="32"/>
        <v>OK</v>
      </c>
      <c r="S142" s="335" t="str">
        <f t="shared" si="32"/>
        <v>OK</v>
      </c>
      <c r="T142" s="335" t="str">
        <f t="shared" si="32"/>
        <v>OK</v>
      </c>
      <c r="U142" s="335" t="str">
        <f t="shared" si="32"/>
        <v>OK</v>
      </c>
      <c r="V142" s="335" t="str">
        <f t="shared" si="32"/>
        <v>OK</v>
      </c>
      <c r="W142" s="335" t="str">
        <f t="shared" si="32"/>
        <v>OK</v>
      </c>
      <c r="X142" s="335" t="str">
        <f t="shared" si="32"/>
        <v>OK</v>
      </c>
      <c r="Y142" s="335" t="str">
        <f t="shared" si="32"/>
        <v>OK</v>
      </c>
      <c r="Z142" s="335" t="str">
        <f t="shared" si="32"/>
        <v>OK</v>
      </c>
      <c r="AA142" s="335" t="str">
        <f t="shared" si="32"/>
        <v>OK</v>
      </c>
      <c r="AB142" s="335" t="str">
        <f t="shared" si="32"/>
        <v>OK</v>
      </c>
      <c r="AC142" s="335" t="str">
        <f t="shared" si="32"/>
        <v>OK</v>
      </c>
      <c r="AD142" s="335" t="str">
        <f t="shared" si="32"/>
        <v>OK</v>
      </c>
      <c r="AE142" s="335" t="str">
        <f t="shared" si="32"/>
        <v>OK</v>
      </c>
      <c r="AF142" s="335" t="str">
        <f t="shared" si="32"/>
        <v>OK</v>
      </c>
      <c r="AG142" s="335" t="str">
        <f t="shared" si="32"/>
        <v>OK</v>
      </c>
      <c r="AH142" s="335" t="str">
        <f t="shared" si="32"/>
        <v>OK</v>
      </c>
      <c r="AI142" s="335" t="str">
        <f t="shared" si="32"/>
        <v>OK</v>
      </c>
      <c r="AJ142" s="335" t="str">
        <f t="shared" si="32"/>
        <v>OK</v>
      </c>
      <c r="AK142" s="335" t="str">
        <f t="shared" si="32"/>
        <v>OK</v>
      </c>
      <c r="AL142" s="336" t="str">
        <f t="shared" si="32"/>
        <v>OK</v>
      </c>
      <c r="AM142" s="22"/>
    </row>
    <row r="143" spans="2:39" hidden="1" outlineLevel="2">
      <c r="B143" s="360" t="s">
        <v>308</v>
      </c>
      <c r="C143" s="361"/>
      <c r="D143" s="89" t="s">
        <v>359</v>
      </c>
      <c r="E143" s="407" t="s">
        <v>31</v>
      </c>
      <c r="F143" s="408" t="s">
        <v>31</v>
      </c>
      <c r="G143" s="408" t="s">
        <v>31</v>
      </c>
      <c r="H143" s="409" t="s">
        <v>31</v>
      </c>
      <c r="I143" s="342" t="str">
        <f t="shared" ref="I143:AL143" si="33">IF(I21&gt;=I22,"OK","BŁĄD")</f>
        <v>OK</v>
      </c>
      <c r="J143" s="335" t="str">
        <f t="shared" si="33"/>
        <v>OK</v>
      </c>
      <c r="K143" s="335" t="str">
        <f t="shared" si="33"/>
        <v>OK</v>
      </c>
      <c r="L143" s="335" t="str">
        <f t="shared" si="33"/>
        <v>OK</v>
      </c>
      <c r="M143" s="335" t="str">
        <f t="shared" si="33"/>
        <v>OK</v>
      </c>
      <c r="N143" s="335" t="str">
        <f t="shared" si="33"/>
        <v>OK</v>
      </c>
      <c r="O143" s="335" t="str">
        <f t="shared" si="33"/>
        <v>OK</v>
      </c>
      <c r="P143" s="335" t="str">
        <f t="shared" si="33"/>
        <v>OK</v>
      </c>
      <c r="Q143" s="335" t="str">
        <f t="shared" si="33"/>
        <v>OK</v>
      </c>
      <c r="R143" s="335" t="str">
        <f t="shared" si="33"/>
        <v>OK</v>
      </c>
      <c r="S143" s="335" t="str">
        <f t="shared" si="33"/>
        <v>OK</v>
      </c>
      <c r="T143" s="335" t="str">
        <f t="shared" si="33"/>
        <v>OK</v>
      </c>
      <c r="U143" s="335" t="str">
        <f t="shared" si="33"/>
        <v>OK</v>
      </c>
      <c r="V143" s="335" t="str">
        <f t="shared" si="33"/>
        <v>OK</v>
      </c>
      <c r="W143" s="335" t="str">
        <f t="shared" si="33"/>
        <v>OK</v>
      </c>
      <c r="X143" s="335" t="str">
        <f t="shared" si="33"/>
        <v>OK</v>
      </c>
      <c r="Y143" s="335" t="str">
        <f t="shared" si="33"/>
        <v>OK</v>
      </c>
      <c r="Z143" s="335" t="str">
        <f t="shared" si="33"/>
        <v>OK</v>
      </c>
      <c r="AA143" s="335" t="str">
        <f t="shared" si="33"/>
        <v>OK</v>
      </c>
      <c r="AB143" s="335" t="str">
        <f t="shared" si="33"/>
        <v>OK</v>
      </c>
      <c r="AC143" s="335" t="str">
        <f t="shared" si="33"/>
        <v>OK</v>
      </c>
      <c r="AD143" s="335" t="str">
        <f t="shared" si="33"/>
        <v>OK</v>
      </c>
      <c r="AE143" s="335" t="str">
        <f t="shared" si="33"/>
        <v>OK</v>
      </c>
      <c r="AF143" s="335" t="str">
        <f t="shared" si="33"/>
        <v>OK</v>
      </c>
      <c r="AG143" s="335" t="str">
        <f t="shared" si="33"/>
        <v>OK</v>
      </c>
      <c r="AH143" s="335" t="str">
        <f t="shared" si="33"/>
        <v>OK</v>
      </c>
      <c r="AI143" s="335" t="str">
        <f t="shared" si="33"/>
        <v>OK</v>
      </c>
      <c r="AJ143" s="335" t="str">
        <f t="shared" si="33"/>
        <v>OK</v>
      </c>
      <c r="AK143" s="335" t="str">
        <f t="shared" si="33"/>
        <v>OK</v>
      </c>
      <c r="AL143" s="336" t="str">
        <f t="shared" si="33"/>
        <v>OK</v>
      </c>
      <c r="AM143" s="22"/>
    </row>
    <row r="144" spans="2:39" hidden="1" outlineLevel="2">
      <c r="B144" s="360" t="s">
        <v>309</v>
      </c>
      <c r="C144" s="361"/>
      <c r="D144" s="89" t="s">
        <v>360</v>
      </c>
      <c r="E144" s="407" t="s">
        <v>31</v>
      </c>
      <c r="F144" s="408" t="s">
        <v>31</v>
      </c>
      <c r="G144" s="408" t="s">
        <v>31</v>
      </c>
      <c r="H144" s="409" t="s">
        <v>31</v>
      </c>
      <c r="I144" s="342" t="str">
        <f t="shared" ref="I144:AL144" si="34">IF(I17&gt;=(I18+I20+I21),"OK","BŁĄD")</f>
        <v>OK</v>
      </c>
      <c r="J144" s="335" t="str">
        <f t="shared" si="34"/>
        <v>OK</v>
      </c>
      <c r="K144" s="335" t="str">
        <f t="shared" si="34"/>
        <v>OK</v>
      </c>
      <c r="L144" s="335" t="str">
        <f t="shared" si="34"/>
        <v>OK</v>
      </c>
      <c r="M144" s="335" t="str">
        <f t="shared" si="34"/>
        <v>OK</v>
      </c>
      <c r="N144" s="335" t="str">
        <f t="shared" si="34"/>
        <v>OK</v>
      </c>
      <c r="O144" s="335" t="str">
        <f t="shared" si="34"/>
        <v>OK</v>
      </c>
      <c r="P144" s="335" t="str">
        <f t="shared" si="34"/>
        <v>OK</v>
      </c>
      <c r="Q144" s="335" t="str">
        <f t="shared" si="34"/>
        <v>OK</v>
      </c>
      <c r="R144" s="335" t="str">
        <f t="shared" si="34"/>
        <v>OK</v>
      </c>
      <c r="S144" s="335" t="str">
        <f t="shared" si="34"/>
        <v>OK</v>
      </c>
      <c r="T144" s="335" t="str">
        <f t="shared" si="34"/>
        <v>OK</v>
      </c>
      <c r="U144" s="335" t="str">
        <f t="shared" si="34"/>
        <v>OK</v>
      </c>
      <c r="V144" s="335" t="str">
        <f t="shared" si="34"/>
        <v>OK</v>
      </c>
      <c r="W144" s="335" t="str">
        <f t="shared" si="34"/>
        <v>OK</v>
      </c>
      <c r="X144" s="335" t="str">
        <f t="shared" si="34"/>
        <v>OK</v>
      </c>
      <c r="Y144" s="335" t="str">
        <f t="shared" si="34"/>
        <v>OK</v>
      </c>
      <c r="Z144" s="335" t="str">
        <f t="shared" si="34"/>
        <v>OK</v>
      </c>
      <c r="AA144" s="335" t="str">
        <f t="shared" si="34"/>
        <v>OK</v>
      </c>
      <c r="AB144" s="335" t="str">
        <f t="shared" si="34"/>
        <v>OK</v>
      </c>
      <c r="AC144" s="335" t="str">
        <f t="shared" si="34"/>
        <v>OK</v>
      </c>
      <c r="AD144" s="335" t="str">
        <f t="shared" si="34"/>
        <v>OK</v>
      </c>
      <c r="AE144" s="335" t="str">
        <f t="shared" si="34"/>
        <v>OK</v>
      </c>
      <c r="AF144" s="335" t="str">
        <f t="shared" si="34"/>
        <v>OK</v>
      </c>
      <c r="AG144" s="335" t="str">
        <f t="shared" si="34"/>
        <v>OK</v>
      </c>
      <c r="AH144" s="335" t="str">
        <f t="shared" si="34"/>
        <v>OK</v>
      </c>
      <c r="AI144" s="335" t="str">
        <f t="shared" si="34"/>
        <v>OK</v>
      </c>
      <c r="AJ144" s="335" t="str">
        <f t="shared" si="34"/>
        <v>OK</v>
      </c>
      <c r="AK144" s="335" t="str">
        <f t="shared" si="34"/>
        <v>OK</v>
      </c>
      <c r="AL144" s="336" t="str">
        <f t="shared" si="34"/>
        <v>OK</v>
      </c>
      <c r="AM144" s="22"/>
    </row>
    <row r="145" spans="2:39" hidden="1" outlineLevel="2">
      <c r="B145" s="360" t="s">
        <v>310</v>
      </c>
      <c r="C145" s="361"/>
      <c r="D145" s="89" t="s">
        <v>361</v>
      </c>
      <c r="E145" s="407" t="s">
        <v>31</v>
      </c>
      <c r="F145" s="408" t="s">
        <v>31</v>
      </c>
      <c r="G145" s="408" t="s">
        <v>31</v>
      </c>
      <c r="H145" s="409" t="s">
        <v>31</v>
      </c>
      <c r="I145" s="342" t="str">
        <f t="shared" ref="I145:AL145" si="35">IF(I17&gt;=I63,"OK","BŁĄD")</f>
        <v>OK</v>
      </c>
      <c r="J145" s="335" t="str">
        <f t="shared" si="35"/>
        <v>OK</v>
      </c>
      <c r="K145" s="335" t="str">
        <f t="shared" si="35"/>
        <v>OK</v>
      </c>
      <c r="L145" s="335" t="str">
        <f t="shared" si="35"/>
        <v>OK</v>
      </c>
      <c r="M145" s="335" t="str">
        <f t="shared" si="35"/>
        <v>OK</v>
      </c>
      <c r="N145" s="335" t="str">
        <f t="shared" si="35"/>
        <v>OK</v>
      </c>
      <c r="O145" s="335" t="str">
        <f t="shared" si="35"/>
        <v>OK</v>
      </c>
      <c r="P145" s="335" t="str">
        <f t="shared" si="35"/>
        <v>OK</v>
      </c>
      <c r="Q145" s="335" t="str">
        <f t="shared" si="35"/>
        <v>OK</v>
      </c>
      <c r="R145" s="335" t="str">
        <f t="shared" si="35"/>
        <v>OK</v>
      </c>
      <c r="S145" s="335" t="str">
        <f t="shared" si="35"/>
        <v>OK</v>
      </c>
      <c r="T145" s="335" t="str">
        <f t="shared" si="35"/>
        <v>OK</v>
      </c>
      <c r="U145" s="335" t="str">
        <f t="shared" si="35"/>
        <v>OK</v>
      </c>
      <c r="V145" s="335" t="str">
        <f t="shared" si="35"/>
        <v>OK</v>
      </c>
      <c r="W145" s="335" t="str">
        <f t="shared" si="35"/>
        <v>OK</v>
      </c>
      <c r="X145" s="335" t="str">
        <f t="shared" si="35"/>
        <v>OK</v>
      </c>
      <c r="Y145" s="335" t="str">
        <f t="shared" si="35"/>
        <v>OK</v>
      </c>
      <c r="Z145" s="335" t="str">
        <f t="shared" si="35"/>
        <v>OK</v>
      </c>
      <c r="AA145" s="335" t="str">
        <f t="shared" si="35"/>
        <v>OK</v>
      </c>
      <c r="AB145" s="335" t="str">
        <f t="shared" si="35"/>
        <v>OK</v>
      </c>
      <c r="AC145" s="335" t="str">
        <f t="shared" si="35"/>
        <v>OK</v>
      </c>
      <c r="AD145" s="335" t="str">
        <f t="shared" si="35"/>
        <v>OK</v>
      </c>
      <c r="AE145" s="335" t="str">
        <f t="shared" si="35"/>
        <v>OK</v>
      </c>
      <c r="AF145" s="335" t="str">
        <f t="shared" si="35"/>
        <v>OK</v>
      </c>
      <c r="AG145" s="335" t="str">
        <f t="shared" si="35"/>
        <v>OK</v>
      </c>
      <c r="AH145" s="335" t="str">
        <f t="shared" si="35"/>
        <v>OK</v>
      </c>
      <c r="AI145" s="335" t="str">
        <f t="shared" si="35"/>
        <v>OK</v>
      </c>
      <c r="AJ145" s="335" t="str">
        <f t="shared" si="35"/>
        <v>OK</v>
      </c>
      <c r="AK145" s="335" t="str">
        <f t="shared" si="35"/>
        <v>OK</v>
      </c>
      <c r="AL145" s="336" t="str">
        <f t="shared" si="35"/>
        <v>OK</v>
      </c>
      <c r="AM145" s="22"/>
    </row>
    <row r="146" spans="2:39" hidden="1" outlineLevel="2">
      <c r="B146" s="360" t="s">
        <v>311</v>
      </c>
      <c r="C146" s="361"/>
      <c r="D146" s="89" t="s">
        <v>362</v>
      </c>
      <c r="E146" s="407" t="s">
        <v>31</v>
      </c>
      <c r="F146" s="408" t="s">
        <v>31</v>
      </c>
      <c r="G146" s="408" t="s">
        <v>31</v>
      </c>
      <c r="H146" s="409" t="s">
        <v>31</v>
      </c>
      <c r="I146" s="342" t="str">
        <f t="shared" ref="I146:AL146" si="36">IF(I17&gt;=I66,"OK","BŁĄD")</f>
        <v>OK</v>
      </c>
      <c r="J146" s="335" t="str">
        <f t="shared" si="36"/>
        <v>OK</v>
      </c>
      <c r="K146" s="335" t="str">
        <f t="shared" si="36"/>
        <v>OK</v>
      </c>
      <c r="L146" s="335" t="str">
        <f t="shared" si="36"/>
        <v>OK</v>
      </c>
      <c r="M146" s="335" t="str">
        <f t="shared" si="36"/>
        <v>OK</v>
      </c>
      <c r="N146" s="335" t="str">
        <f t="shared" si="36"/>
        <v>OK</v>
      </c>
      <c r="O146" s="335" t="str">
        <f t="shared" si="36"/>
        <v>OK</v>
      </c>
      <c r="P146" s="335" t="str">
        <f t="shared" si="36"/>
        <v>OK</v>
      </c>
      <c r="Q146" s="335" t="str">
        <f t="shared" si="36"/>
        <v>OK</v>
      </c>
      <c r="R146" s="335" t="str">
        <f t="shared" si="36"/>
        <v>OK</v>
      </c>
      <c r="S146" s="335" t="str">
        <f t="shared" si="36"/>
        <v>OK</v>
      </c>
      <c r="T146" s="335" t="str">
        <f t="shared" si="36"/>
        <v>OK</v>
      </c>
      <c r="U146" s="335" t="str">
        <f t="shared" si="36"/>
        <v>OK</v>
      </c>
      <c r="V146" s="335" t="str">
        <f t="shared" si="36"/>
        <v>OK</v>
      </c>
      <c r="W146" s="335" t="str">
        <f t="shared" si="36"/>
        <v>OK</v>
      </c>
      <c r="X146" s="335" t="str">
        <f t="shared" si="36"/>
        <v>OK</v>
      </c>
      <c r="Y146" s="335" t="str">
        <f t="shared" si="36"/>
        <v>OK</v>
      </c>
      <c r="Z146" s="335" t="str">
        <f t="shared" si="36"/>
        <v>OK</v>
      </c>
      <c r="AA146" s="335" t="str">
        <f t="shared" si="36"/>
        <v>OK</v>
      </c>
      <c r="AB146" s="335" t="str">
        <f t="shared" si="36"/>
        <v>OK</v>
      </c>
      <c r="AC146" s="335" t="str">
        <f t="shared" si="36"/>
        <v>OK</v>
      </c>
      <c r="AD146" s="335" t="str">
        <f t="shared" si="36"/>
        <v>OK</v>
      </c>
      <c r="AE146" s="335" t="str">
        <f t="shared" si="36"/>
        <v>OK</v>
      </c>
      <c r="AF146" s="335" t="str">
        <f t="shared" si="36"/>
        <v>OK</v>
      </c>
      <c r="AG146" s="335" t="str">
        <f t="shared" si="36"/>
        <v>OK</v>
      </c>
      <c r="AH146" s="335" t="str">
        <f t="shared" si="36"/>
        <v>OK</v>
      </c>
      <c r="AI146" s="335" t="str">
        <f t="shared" si="36"/>
        <v>OK</v>
      </c>
      <c r="AJ146" s="335" t="str">
        <f t="shared" si="36"/>
        <v>OK</v>
      </c>
      <c r="AK146" s="335" t="str">
        <f t="shared" si="36"/>
        <v>OK</v>
      </c>
      <c r="AL146" s="336" t="str">
        <f t="shared" si="36"/>
        <v>OK</v>
      </c>
      <c r="AM146" s="22"/>
    </row>
    <row r="147" spans="2:39" hidden="1" outlineLevel="2">
      <c r="B147" s="360" t="s">
        <v>312</v>
      </c>
      <c r="C147" s="361"/>
      <c r="D147" s="89" t="s">
        <v>363</v>
      </c>
      <c r="E147" s="407" t="s">
        <v>31</v>
      </c>
      <c r="F147" s="408" t="s">
        <v>31</v>
      </c>
      <c r="G147" s="408" t="s">
        <v>31</v>
      </c>
      <c r="H147" s="409" t="s">
        <v>31</v>
      </c>
      <c r="I147" s="342" t="str">
        <f t="shared" ref="I147:AL147" si="37">IF(I17&gt;=I78,"OK","BŁĄD")</f>
        <v>OK</v>
      </c>
      <c r="J147" s="335" t="str">
        <f t="shared" si="37"/>
        <v>OK</v>
      </c>
      <c r="K147" s="335" t="str">
        <f t="shared" si="37"/>
        <v>OK</v>
      </c>
      <c r="L147" s="335" t="str">
        <f t="shared" si="37"/>
        <v>OK</v>
      </c>
      <c r="M147" s="335" t="str">
        <f t="shared" si="37"/>
        <v>OK</v>
      </c>
      <c r="N147" s="335" t="str">
        <f t="shared" si="37"/>
        <v>OK</v>
      </c>
      <c r="O147" s="335" t="str">
        <f t="shared" si="37"/>
        <v>OK</v>
      </c>
      <c r="P147" s="335" t="str">
        <f t="shared" si="37"/>
        <v>OK</v>
      </c>
      <c r="Q147" s="335" t="str">
        <f t="shared" si="37"/>
        <v>OK</v>
      </c>
      <c r="R147" s="335" t="str">
        <f t="shared" si="37"/>
        <v>OK</v>
      </c>
      <c r="S147" s="335" t="str">
        <f t="shared" si="37"/>
        <v>OK</v>
      </c>
      <c r="T147" s="335" t="str">
        <f t="shared" si="37"/>
        <v>OK</v>
      </c>
      <c r="U147" s="335" t="str">
        <f t="shared" si="37"/>
        <v>OK</v>
      </c>
      <c r="V147" s="335" t="str">
        <f t="shared" si="37"/>
        <v>OK</v>
      </c>
      <c r="W147" s="335" t="str">
        <f t="shared" si="37"/>
        <v>OK</v>
      </c>
      <c r="X147" s="335" t="str">
        <f t="shared" si="37"/>
        <v>OK</v>
      </c>
      <c r="Y147" s="335" t="str">
        <f t="shared" si="37"/>
        <v>OK</v>
      </c>
      <c r="Z147" s="335" t="str">
        <f t="shared" si="37"/>
        <v>OK</v>
      </c>
      <c r="AA147" s="335" t="str">
        <f t="shared" si="37"/>
        <v>OK</v>
      </c>
      <c r="AB147" s="335" t="str">
        <f t="shared" si="37"/>
        <v>OK</v>
      </c>
      <c r="AC147" s="335" t="str">
        <f t="shared" si="37"/>
        <v>OK</v>
      </c>
      <c r="AD147" s="335" t="str">
        <f t="shared" si="37"/>
        <v>OK</v>
      </c>
      <c r="AE147" s="335" t="str">
        <f t="shared" si="37"/>
        <v>OK</v>
      </c>
      <c r="AF147" s="335" t="str">
        <f t="shared" si="37"/>
        <v>OK</v>
      </c>
      <c r="AG147" s="335" t="str">
        <f t="shared" si="37"/>
        <v>OK</v>
      </c>
      <c r="AH147" s="335" t="str">
        <f t="shared" si="37"/>
        <v>OK</v>
      </c>
      <c r="AI147" s="335" t="str">
        <f t="shared" si="37"/>
        <v>OK</v>
      </c>
      <c r="AJ147" s="335" t="str">
        <f t="shared" si="37"/>
        <v>OK</v>
      </c>
      <c r="AK147" s="335" t="str">
        <f t="shared" si="37"/>
        <v>OK</v>
      </c>
      <c r="AL147" s="336" t="str">
        <f t="shared" si="37"/>
        <v>OK</v>
      </c>
      <c r="AM147" s="22"/>
    </row>
    <row r="148" spans="2:39" hidden="1" outlineLevel="2">
      <c r="B148" s="360" t="s">
        <v>313</v>
      </c>
      <c r="C148" s="361"/>
      <c r="D148" s="89" t="s">
        <v>364</v>
      </c>
      <c r="E148" s="407" t="s">
        <v>31</v>
      </c>
      <c r="F148" s="408" t="s">
        <v>31</v>
      </c>
      <c r="G148" s="408" t="s">
        <v>31</v>
      </c>
      <c r="H148" s="409" t="s">
        <v>31</v>
      </c>
      <c r="I148" s="342" t="str">
        <f t="shared" ref="I148:AL148" si="38">IF(I17&gt;=I91,"OK","BŁĄD")</f>
        <v>OK</v>
      </c>
      <c r="J148" s="335" t="str">
        <f t="shared" si="38"/>
        <v>OK</v>
      </c>
      <c r="K148" s="335" t="str">
        <f t="shared" si="38"/>
        <v>OK</v>
      </c>
      <c r="L148" s="335" t="str">
        <f t="shared" si="38"/>
        <v>OK</v>
      </c>
      <c r="M148" s="335" t="str">
        <f t="shared" si="38"/>
        <v>OK</v>
      </c>
      <c r="N148" s="335" t="str">
        <f t="shared" si="38"/>
        <v>OK</v>
      </c>
      <c r="O148" s="335" t="str">
        <f t="shared" si="38"/>
        <v>OK</v>
      </c>
      <c r="P148" s="335" t="str">
        <f t="shared" si="38"/>
        <v>OK</v>
      </c>
      <c r="Q148" s="335" t="str">
        <f t="shared" si="38"/>
        <v>OK</v>
      </c>
      <c r="R148" s="335" t="str">
        <f t="shared" si="38"/>
        <v>OK</v>
      </c>
      <c r="S148" s="335" t="str">
        <f t="shared" si="38"/>
        <v>OK</v>
      </c>
      <c r="T148" s="335" t="str">
        <f t="shared" si="38"/>
        <v>OK</v>
      </c>
      <c r="U148" s="335" t="str">
        <f t="shared" si="38"/>
        <v>OK</v>
      </c>
      <c r="V148" s="335" t="str">
        <f t="shared" si="38"/>
        <v>OK</v>
      </c>
      <c r="W148" s="335" t="str">
        <f t="shared" si="38"/>
        <v>OK</v>
      </c>
      <c r="X148" s="335" t="str">
        <f t="shared" si="38"/>
        <v>OK</v>
      </c>
      <c r="Y148" s="335" t="str">
        <f t="shared" si="38"/>
        <v>OK</v>
      </c>
      <c r="Z148" s="335" t="str">
        <f t="shared" si="38"/>
        <v>OK</v>
      </c>
      <c r="AA148" s="335" t="str">
        <f t="shared" si="38"/>
        <v>OK</v>
      </c>
      <c r="AB148" s="335" t="str">
        <f t="shared" si="38"/>
        <v>OK</v>
      </c>
      <c r="AC148" s="335" t="str">
        <f t="shared" si="38"/>
        <v>OK</v>
      </c>
      <c r="AD148" s="335" t="str">
        <f t="shared" si="38"/>
        <v>OK</v>
      </c>
      <c r="AE148" s="335" t="str">
        <f t="shared" si="38"/>
        <v>OK</v>
      </c>
      <c r="AF148" s="335" t="str">
        <f t="shared" si="38"/>
        <v>OK</v>
      </c>
      <c r="AG148" s="335" t="str">
        <f t="shared" si="38"/>
        <v>OK</v>
      </c>
      <c r="AH148" s="335" t="str">
        <f t="shared" si="38"/>
        <v>OK</v>
      </c>
      <c r="AI148" s="335" t="str">
        <f t="shared" si="38"/>
        <v>OK</v>
      </c>
      <c r="AJ148" s="335" t="str">
        <f t="shared" si="38"/>
        <v>OK</v>
      </c>
      <c r="AK148" s="335" t="str">
        <f t="shared" si="38"/>
        <v>OK</v>
      </c>
      <c r="AL148" s="336" t="str">
        <f t="shared" si="38"/>
        <v>OK</v>
      </c>
      <c r="AM148" s="22"/>
    </row>
    <row r="149" spans="2:39" hidden="1" outlineLevel="2">
      <c r="B149" s="360" t="s">
        <v>314</v>
      </c>
      <c r="C149" s="361"/>
      <c r="D149" s="89" t="s">
        <v>365</v>
      </c>
      <c r="E149" s="407" t="s">
        <v>31</v>
      </c>
      <c r="F149" s="408" t="s">
        <v>31</v>
      </c>
      <c r="G149" s="408" t="s">
        <v>31</v>
      </c>
      <c r="H149" s="409" t="s">
        <v>31</v>
      </c>
      <c r="I149" s="342" t="str">
        <f t="shared" ref="I149:AL149" si="39">IF(I23&gt;=I67,"OK","BŁĄD")</f>
        <v>OK</v>
      </c>
      <c r="J149" s="335" t="str">
        <f t="shared" si="39"/>
        <v>OK</v>
      </c>
      <c r="K149" s="335" t="str">
        <f t="shared" si="39"/>
        <v>OK</v>
      </c>
      <c r="L149" s="335" t="str">
        <f t="shared" si="39"/>
        <v>OK</v>
      </c>
      <c r="M149" s="335" t="str">
        <f t="shared" si="39"/>
        <v>OK</v>
      </c>
      <c r="N149" s="335" t="str">
        <f t="shared" si="39"/>
        <v>OK</v>
      </c>
      <c r="O149" s="335" t="str">
        <f t="shared" si="39"/>
        <v>OK</v>
      </c>
      <c r="P149" s="335" t="str">
        <f t="shared" si="39"/>
        <v>OK</v>
      </c>
      <c r="Q149" s="335" t="str">
        <f t="shared" si="39"/>
        <v>OK</v>
      </c>
      <c r="R149" s="335" t="str">
        <f t="shared" si="39"/>
        <v>OK</v>
      </c>
      <c r="S149" s="335" t="str">
        <f t="shared" si="39"/>
        <v>OK</v>
      </c>
      <c r="T149" s="335" t="str">
        <f t="shared" si="39"/>
        <v>OK</v>
      </c>
      <c r="U149" s="335" t="str">
        <f t="shared" si="39"/>
        <v>OK</v>
      </c>
      <c r="V149" s="335" t="str">
        <f t="shared" si="39"/>
        <v>OK</v>
      </c>
      <c r="W149" s="335" t="str">
        <f t="shared" si="39"/>
        <v>OK</v>
      </c>
      <c r="X149" s="335" t="str">
        <f t="shared" si="39"/>
        <v>OK</v>
      </c>
      <c r="Y149" s="335" t="str">
        <f t="shared" si="39"/>
        <v>OK</v>
      </c>
      <c r="Z149" s="335" t="str">
        <f t="shared" si="39"/>
        <v>OK</v>
      </c>
      <c r="AA149" s="335" t="str">
        <f t="shared" si="39"/>
        <v>OK</v>
      </c>
      <c r="AB149" s="335" t="str">
        <f t="shared" si="39"/>
        <v>OK</v>
      </c>
      <c r="AC149" s="335" t="str">
        <f t="shared" si="39"/>
        <v>OK</v>
      </c>
      <c r="AD149" s="335" t="str">
        <f t="shared" si="39"/>
        <v>OK</v>
      </c>
      <c r="AE149" s="335" t="str">
        <f t="shared" si="39"/>
        <v>OK</v>
      </c>
      <c r="AF149" s="335" t="str">
        <f t="shared" si="39"/>
        <v>OK</v>
      </c>
      <c r="AG149" s="335" t="str">
        <f t="shared" si="39"/>
        <v>OK</v>
      </c>
      <c r="AH149" s="335" t="str">
        <f t="shared" si="39"/>
        <v>OK</v>
      </c>
      <c r="AI149" s="335" t="str">
        <f t="shared" si="39"/>
        <v>OK</v>
      </c>
      <c r="AJ149" s="335" t="str">
        <f t="shared" si="39"/>
        <v>OK</v>
      </c>
      <c r="AK149" s="335" t="str">
        <f t="shared" si="39"/>
        <v>OK</v>
      </c>
      <c r="AL149" s="336" t="str">
        <f t="shared" si="39"/>
        <v>OK</v>
      </c>
      <c r="AM149" s="22"/>
    </row>
    <row r="150" spans="2:39" hidden="1" outlineLevel="2">
      <c r="B150" s="360" t="s">
        <v>315</v>
      </c>
      <c r="C150" s="361"/>
      <c r="D150" s="89" t="s">
        <v>366</v>
      </c>
      <c r="E150" s="407" t="s">
        <v>31</v>
      </c>
      <c r="F150" s="408" t="s">
        <v>31</v>
      </c>
      <c r="G150" s="408" t="s">
        <v>31</v>
      </c>
      <c r="H150" s="409" t="s">
        <v>31</v>
      </c>
      <c r="I150" s="342" t="str">
        <f t="shared" ref="I150:AL150" si="40">IF(I23&gt;=I68+I69,"OK","BŁĄD")</f>
        <v>OK</v>
      </c>
      <c r="J150" s="335" t="str">
        <f t="shared" si="40"/>
        <v>OK</v>
      </c>
      <c r="K150" s="335" t="str">
        <f t="shared" si="40"/>
        <v>OK</v>
      </c>
      <c r="L150" s="335" t="str">
        <f t="shared" si="40"/>
        <v>OK</v>
      </c>
      <c r="M150" s="335" t="str">
        <f t="shared" si="40"/>
        <v>OK</v>
      </c>
      <c r="N150" s="335" t="str">
        <f t="shared" si="40"/>
        <v>OK</v>
      </c>
      <c r="O150" s="335" t="str">
        <f t="shared" si="40"/>
        <v>OK</v>
      </c>
      <c r="P150" s="335" t="str">
        <f t="shared" si="40"/>
        <v>OK</v>
      </c>
      <c r="Q150" s="335" t="str">
        <f t="shared" si="40"/>
        <v>OK</v>
      </c>
      <c r="R150" s="335" t="str">
        <f t="shared" si="40"/>
        <v>OK</v>
      </c>
      <c r="S150" s="335" t="str">
        <f t="shared" si="40"/>
        <v>OK</v>
      </c>
      <c r="T150" s="335" t="str">
        <f t="shared" si="40"/>
        <v>OK</v>
      </c>
      <c r="U150" s="335" t="str">
        <f t="shared" si="40"/>
        <v>OK</v>
      </c>
      <c r="V150" s="335" t="str">
        <f t="shared" si="40"/>
        <v>OK</v>
      </c>
      <c r="W150" s="335" t="str">
        <f t="shared" si="40"/>
        <v>OK</v>
      </c>
      <c r="X150" s="335" t="str">
        <f t="shared" si="40"/>
        <v>OK</v>
      </c>
      <c r="Y150" s="335" t="str">
        <f t="shared" si="40"/>
        <v>OK</v>
      </c>
      <c r="Z150" s="335" t="str">
        <f t="shared" si="40"/>
        <v>OK</v>
      </c>
      <c r="AA150" s="335" t="str">
        <f t="shared" si="40"/>
        <v>OK</v>
      </c>
      <c r="AB150" s="335" t="str">
        <f t="shared" si="40"/>
        <v>OK</v>
      </c>
      <c r="AC150" s="335" t="str">
        <f t="shared" si="40"/>
        <v>OK</v>
      </c>
      <c r="AD150" s="335" t="str">
        <f t="shared" si="40"/>
        <v>OK</v>
      </c>
      <c r="AE150" s="335" t="str">
        <f t="shared" si="40"/>
        <v>OK</v>
      </c>
      <c r="AF150" s="335" t="str">
        <f t="shared" si="40"/>
        <v>OK</v>
      </c>
      <c r="AG150" s="335" t="str">
        <f t="shared" si="40"/>
        <v>OK</v>
      </c>
      <c r="AH150" s="335" t="str">
        <f t="shared" si="40"/>
        <v>OK</v>
      </c>
      <c r="AI150" s="335" t="str">
        <f t="shared" si="40"/>
        <v>OK</v>
      </c>
      <c r="AJ150" s="335" t="str">
        <f t="shared" si="40"/>
        <v>OK</v>
      </c>
      <c r="AK150" s="335" t="str">
        <f t="shared" si="40"/>
        <v>OK</v>
      </c>
      <c r="AL150" s="336" t="str">
        <f t="shared" si="40"/>
        <v>OK</v>
      </c>
      <c r="AM150" s="22"/>
    </row>
    <row r="151" spans="2:39" hidden="1" outlineLevel="2">
      <c r="B151" s="360" t="s">
        <v>316</v>
      </c>
      <c r="C151" s="361"/>
      <c r="D151" s="89" t="s">
        <v>367</v>
      </c>
      <c r="E151" s="407" t="s">
        <v>31</v>
      </c>
      <c r="F151" s="408" t="s">
        <v>31</v>
      </c>
      <c r="G151" s="408" t="s">
        <v>31</v>
      </c>
      <c r="H151" s="409" t="s">
        <v>31</v>
      </c>
      <c r="I151" s="342" t="str">
        <f t="shared" ref="I151:AL151" si="41">IF(I23&gt;=I70,"OK","BŁĄD")</f>
        <v>OK</v>
      </c>
      <c r="J151" s="335" t="str">
        <f t="shared" si="41"/>
        <v>OK</v>
      </c>
      <c r="K151" s="335" t="str">
        <f t="shared" si="41"/>
        <v>OK</v>
      </c>
      <c r="L151" s="335" t="str">
        <f t="shared" si="41"/>
        <v>OK</v>
      </c>
      <c r="M151" s="335" t="str">
        <f t="shared" si="41"/>
        <v>OK</v>
      </c>
      <c r="N151" s="335" t="str">
        <f t="shared" si="41"/>
        <v>OK</v>
      </c>
      <c r="O151" s="335" t="str">
        <f t="shared" si="41"/>
        <v>OK</v>
      </c>
      <c r="P151" s="335" t="str">
        <f t="shared" si="41"/>
        <v>OK</v>
      </c>
      <c r="Q151" s="335" t="str">
        <f t="shared" si="41"/>
        <v>OK</v>
      </c>
      <c r="R151" s="335" t="str">
        <f t="shared" si="41"/>
        <v>OK</v>
      </c>
      <c r="S151" s="335" t="str">
        <f t="shared" si="41"/>
        <v>OK</v>
      </c>
      <c r="T151" s="335" t="str">
        <f t="shared" si="41"/>
        <v>OK</v>
      </c>
      <c r="U151" s="335" t="str">
        <f t="shared" si="41"/>
        <v>OK</v>
      </c>
      <c r="V151" s="335" t="str">
        <f t="shared" si="41"/>
        <v>OK</v>
      </c>
      <c r="W151" s="335" t="str">
        <f t="shared" si="41"/>
        <v>OK</v>
      </c>
      <c r="X151" s="335" t="str">
        <f t="shared" si="41"/>
        <v>OK</v>
      </c>
      <c r="Y151" s="335" t="str">
        <f t="shared" si="41"/>
        <v>OK</v>
      </c>
      <c r="Z151" s="335" t="str">
        <f t="shared" si="41"/>
        <v>OK</v>
      </c>
      <c r="AA151" s="335" t="str">
        <f t="shared" si="41"/>
        <v>OK</v>
      </c>
      <c r="AB151" s="335" t="str">
        <f t="shared" si="41"/>
        <v>OK</v>
      </c>
      <c r="AC151" s="335" t="str">
        <f t="shared" si="41"/>
        <v>OK</v>
      </c>
      <c r="AD151" s="335" t="str">
        <f t="shared" si="41"/>
        <v>OK</v>
      </c>
      <c r="AE151" s="335" t="str">
        <f t="shared" si="41"/>
        <v>OK</v>
      </c>
      <c r="AF151" s="335" t="str">
        <f t="shared" si="41"/>
        <v>OK</v>
      </c>
      <c r="AG151" s="335" t="str">
        <f t="shared" si="41"/>
        <v>OK</v>
      </c>
      <c r="AH151" s="335" t="str">
        <f t="shared" si="41"/>
        <v>OK</v>
      </c>
      <c r="AI151" s="335" t="str">
        <f t="shared" si="41"/>
        <v>OK</v>
      </c>
      <c r="AJ151" s="335" t="str">
        <f t="shared" si="41"/>
        <v>OK</v>
      </c>
      <c r="AK151" s="335" t="str">
        <f t="shared" si="41"/>
        <v>OK</v>
      </c>
      <c r="AL151" s="336" t="str">
        <f t="shared" si="41"/>
        <v>OK</v>
      </c>
      <c r="AM151" s="22"/>
    </row>
    <row r="152" spans="2:39" hidden="1" outlineLevel="2">
      <c r="B152" s="360" t="s">
        <v>317</v>
      </c>
      <c r="C152" s="361"/>
      <c r="D152" s="89" t="s">
        <v>368</v>
      </c>
      <c r="E152" s="407" t="s">
        <v>31</v>
      </c>
      <c r="F152" s="408" t="s">
        <v>31</v>
      </c>
      <c r="G152" s="408" t="s">
        <v>31</v>
      </c>
      <c r="H152" s="409" t="s">
        <v>31</v>
      </c>
      <c r="I152" s="342" t="str">
        <f t="shared" ref="I152:AL152" si="42">IF(I23&gt;=I81,"OK","BŁĄD")</f>
        <v>OK</v>
      </c>
      <c r="J152" s="335" t="str">
        <f t="shared" si="42"/>
        <v>OK</v>
      </c>
      <c r="K152" s="335" t="str">
        <f t="shared" si="42"/>
        <v>OK</v>
      </c>
      <c r="L152" s="335" t="str">
        <f t="shared" si="42"/>
        <v>OK</v>
      </c>
      <c r="M152" s="335" t="str">
        <f t="shared" si="42"/>
        <v>OK</v>
      </c>
      <c r="N152" s="335" t="str">
        <f t="shared" si="42"/>
        <v>OK</v>
      </c>
      <c r="O152" s="335" t="str">
        <f t="shared" si="42"/>
        <v>OK</v>
      </c>
      <c r="P152" s="335" t="str">
        <f t="shared" si="42"/>
        <v>OK</v>
      </c>
      <c r="Q152" s="335" t="str">
        <f t="shared" si="42"/>
        <v>OK</v>
      </c>
      <c r="R152" s="335" t="str">
        <f t="shared" si="42"/>
        <v>OK</v>
      </c>
      <c r="S152" s="335" t="str">
        <f t="shared" si="42"/>
        <v>OK</v>
      </c>
      <c r="T152" s="335" t="str">
        <f t="shared" si="42"/>
        <v>OK</v>
      </c>
      <c r="U152" s="335" t="str">
        <f t="shared" si="42"/>
        <v>OK</v>
      </c>
      <c r="V152" s="335" t="str">
        <f t="shared" si="42"/>
        <v>OK</v>
      </c>
      <c r="W152" s="335" t="str">
        <f t="shared" si="42"/>
        <v>OK</v>
      </c>
      <c r="X152" s="335" t="str">
        <f t="shared" si="42"/>
        <v>OK</v>
      </c>
      <c r="Y152" s="335" t="str">
        <f t="shared" si="42"/>
        <v>OK</v>
      </c>
      <c r="Z152" s="335" t="str">
        <f t="shared" si="42"/>
        <v>OK</v>
      </c>
      <c r="AA152" s="335" t="str">
        <f t="shared" si="42"/>
        <v>OK</v>
      </c>
      <c r="AB152" s="335" t="str">
        <f t="shared" si="42"/>
        <v>OK</v>
      </c>
      <c r="AC152" s="335" t="str">
        <f t="shared" si="42"/>
        <v>OK</v>
      </c>
      <c r="AD152" s="335" t="str">
        <f t="shared" si="42"/>
        <v>OK</v>
      </c>
      <c r="AE152" s="335" t="str">
        <f t="shared" si="42"/>
        <v>OK</v>
      </c>
      <c r="AF152" s="335" t="str">
        <f t="shared" si="42"/>
        <v>OK</v>
      </c>
      <c r="AG152" s="335" t="str">
        <f t="shared" si="42"/>
        <v>OK</v>
      </c>
      <c r="AH152" s="335" t="str">
        <f t="shared" si="42"/>
        <v>OK</v>
      </c>
      <c r="AI152" s="335" t="str">
        <f t="shared" si="42"/>
        <v>OK</v>
      </c>
      <c r="AJ152" s="335" t="str">
        <f t="shared" si="42"/>
        <v>OK</v>
      </c>
      <c r="AK152" s="335" t="str">
        <f t="shared" si="42"/>
        <v>OK</v>
      </c>
      <c r="AL152" s="336" t="str">
        <f t="shared" si="42"/>
        <v>OK</v>
      </c>
      <c r="AM152" s="22"/>
    </row>
    <row r="153" spans="2:39" hidden="1" outlineLevel="2">
      <c r="B153" s="360" t="s">
        <v>318</v>
      </c>
      <c r="C153" s="361"/>
      <c r="D153" s="89" t="s">
        <v>369</v>
      </c>
      <c r="E153" s="407" t="s">
        <v>31</v>
      </c>
      <c r="F153" s="408" t="s">
        <v>31</v>
      </c>
      <c r="G153" s="408" t="s">
        <v>31</v>
      </c>
      <c r="H153" s="409" t="s">
        <v>31</v>
      </c>
      <c r="I153" s="342" t="str">
        <f t="shared" ref="I153:AL153" si="43">IF(I26&gt;=I27,"OK","BŁĄD")</f>
        <v>OK</v>
      </c>
      <c r="J153" s="335" t="str">
        <f t="shared" si="43"/>
        <v>OK</v>
      </c>
      <c r="K153" s="335" t="str">
        <f t="shared" si="43"/>
        <v>OK</v>
      </c>
      <c r="L153" s="335" t="str">
        <f t="shared" si="43"/>
        <v>OK</v>
      </c>
      <c r="M153" s="335" t="str">
        <f t="shared" si="43"/>
        <v>OK</v>
      </c>
      <c r="N153" s="335" t="str">
        <f t="shared" si="43"/>
        <v>OK</v>
      </c>
      <c r="O153" s="335" t="str">
        <f t="shared" si="43"/>
        <v>OK</v>
      </c>
      <c r="P153" s="335" t="str">
        <f t="shared" si="43"/>
        <v>OK</v>
      </c>
      <c r="Q153" s="335" t="str">
        <f t="shared" si="43"/>
        <v>OK</v>
      </c>
      <c r="R153" s="335" t="str">
        <f t="shared" si="43"/>
        <v>OK</v>
      </c>
      <c r="S153" s="335" t="str">
        <f t="shared" si="43"/>
        <v>OK</v>
      </c>
      <c r="T153" s="335" t="str">
        <f t="shared" si="43"/>
        <v>OK</v>
      </c>
      <c r="U153" s="335" t="str">
        <f t="shared" si="43"/>
        <v>OK</v>
      </c>
      <c r="V153" s="335" t="str">
        <f t="shared" si="43"/>
        <v>OK</v>
      </c>
      <c r="W153" s="335" t="str">
        <f t="shared" si="43"/>
        <v>OK</v>
      </c>
      <c r="X153" s="335" t="str">
        <f t="shared" si="43"/>
        <v>OK</v>
      </c>
      <c r="Y153" s="335" t="str">
        <f t="shared" si="43"/>
        <v>OK</v>
      </c>
      <c r="Z153" s="335" t="str">
        <f t="shared" si="43"/>
        <v>OK</v>
      </c>
      <c r="AA153" s="335" t="str">
        <f t="shared" si="43"/>
        <v>OK</v>
      </c>
      <c r="AB153" s="335" t="str">
        <f t="shared" si="43"/>
        <v>OK</v>
      </c>
      <c r="AC153" s="335" t="str">
        <f t="shared" si="43"/>
        <v>OK</v>
      </c>
      <c r="AD153" s="335" t="str">
        <f t="shared" si="43"/>
        <v>OK</v>
      </c>
      <c r="AE153" s="335" t="str">
        <f t="shared" si="43"/>
        <v>OK</v>
      </c>
      <c r="AF153" s="335" t="str">
        <f t="shared" si="43"/>
        <v>OK</v>
      </c>
      <c r="AG153" s="335" t="str">
        <f t="shared" si="43"/>
        <v>OK</v>
      </c>
      <c r="AH153" s="335" t="str">
        <f t="shared" si="43"/>
        <v>OK</v>
      </c>
      <c r="AI153" s="335" t="str">
        <f t="shared" si="43"/>
        <v>OK</v>
      </c>
      <c r="AJ153" s="335" t="str">
        <f t="shared" si="43"/>
        <v>OK</v>
      </c>
      <c r="AK153" s="335" t="str">
        <f t="shared" si="43"/>
        <v>OK</v>
      </c>
      <c r="AL153" s="336" t="str">
        <f t="shared" si="43"/>
        <v>OK</v>
      </c>
      <c r="AM153" s="22"/>
    </row>
    <row r="154" spans="2:39" hidden="1" outlineLevel="2">
      <c r="B154" s="360" t="s">
        <v>319</v>
      </c>
      <c r="C154" s="361"/>
      <c r="D154" s="89" t="s">
        <v>370</v>
      </c>
      <c r="E154" s="407" t="s">
        <v>31</v>
      </c>
      <c r="F154" s="408" t="s">
        <v>31</v>
      </c>
      <c r="G154" s="408" t="s">
        <v>31</v>
      </c>
      <c r="H154" s="409" t="s">
        <v>31</v>
      </c>
      <c r="I154" s="342" t="str">
        <f t="shared" ref="I154:AL154" si="44">IF(I28&gt;=I29,"OK","BŁĄD")</f>
        <v>OK</v>
      </c>
      <c r="J154" s="335" t="str">
        <f t="shared" si="44"/>
        <v>OK</v>
      </c>
      <c r="K154" s="335" t="str">
        <f t="shared" si="44"/>
        <v>OK</v>
      </c>
      <c r="L154" s="335" t="str">
        <f t="shared" si="44"/>
        <v>OK</v>
      </c>
      <c r="M154" s="335" t="str">
        <f t="shared" si="44"/>
        <v>OK</v>
      </c>
      <c r="N154" s="335" t="str">
        <f t="shared" si="44"/>
        <v>OK</v>
      </c>
      <c r="O154" s="335" t="str">
        <f t="shared" si="44"/>
        <v>OK</v>
      </c>
      <c r="P154" s="335" t="str">
        <f t="shared" si="44"/>
        <v>OK</v>
      </c>
      <c r="Q154" s="335" t="str">
        <f t="shared" si="44"/>
        <v>OK</v>
      </c>
      <c r="R154" s="335" t="str">
        <f t="shared" si="44"/>
        <v>OK</v>
      </c>
      <c r="S154" s="335" t="str">
        <f t="shared" si="44"/>
        <v>OK</v>
      </c>
      <c r="T154" s="335" t="str">
        <f t="shared" si="44"/>
        <v>OK</v>
      </c>
      <c r="U154" s="335" t="str">
        <f t="shared" si="44"/>
        <v>OK</v>
      </c>
      <c r="V154" s="335" t="str">
        <f t="shared" si="44"/>
        <v>OK</v>
      </c>
      <c r="W154" s="335" t="str">
        <f t="shared" si="44"/>
        <v>OK</v>
      </c>
      <c r="X154" s="335" t="str">
        <f t="shared" si="44"/>
        <v>OK</v>
      </c>
      <c r="Y154" s="335" t="str">
        <f t="shared" si="44"/>
        <v>OK</v>
      </c>
      <c r="Z154" s="335" t="str">
        <f t="shared" si="44"/>
        <v>OK</v>
      </c>
      <c r="AA154" s="335" t="str">
        <f t="shared" si="44"/>
        <v>OK</v>
      </c>
      <c r="AB154" s="335" t="str">
        <f t="shared" si="44"/>
        <v>OK</v>
      </c>
      <c r="AC154" s="335" t="str">
        <f t="shared" si="44"/>
        <v>OK</v>
      </c>
      <c r="AD154" s="335" t="str">
        <f t="shared" si="44"/>
        <v>OK</v>
      </c>
      <c r="AE154" s="335" t="str">
        <f t="shared" si="44"/>
        <v>OK</v>
      </c>
      <c r="AF154" s="335" t="str">
        <f t="shared" si="44"/>
        <v>OK</v>
      </c>
      <c r="AG154" s="335" t="str">
        <f t="shared" si="44"/>
        <v>OK</v>
      </c>
      <c r="AH154" s="335" t="str">
        <f t="shared" si="44"/>
        <v>OK</v>
      </c>
      <c r="AI154" s="335" t="str">
        <f t="shared" si="44"/>
        <v>OK</v>
      </c>
      <c r="AJ154" s="335" t="str">
        <f t="shared" si="44"/>
        <v>OK</v>
      </c>
      <c r="AK154" s="335" t="str">
        <f t="shared" si="44"/>
        <v>OK</v>
      </c>
      <c r="AL154" s="336" t="str">
        <f t="shared" si="44"/>
        <v>OK</v>
      </c>
      <c r="AM154" s="22"/>
    </row>
    <row r="155" spans="2:39" hidden="1" outlineLevel="2">
      <c r="B155" s="360" t="s">
        <v>320</v>
      </c>
      <c r="C155" s="361"/>
      <c r="D155" s="89" t="s">
        <v>371</v>
      </c>
      <c r="E155" s="407" t="s">
        <v>31</v>
      </c>
      <c r="F155" s="408" t="s">
        <v>31</v>
      </c>
      <c r="G155" s="408" t="s">
        <v>31</v>
      </c>
      <c r="H155" s="409" t="s">
        <v>31</v>
      </c>
      <c r="I155" s="342" t="str">
        <f t="shared" ref="I155:AL155" si="45">IF(I30&gt;=I31,"OK","BŁĄD")</f>
        <v>OK</v>
      </c>
      <c r="J155" s="335" t="str">
        <f t="shared" si="45"/>
        <v>OK</v>
      </c>
      <c r="K155" s="335" t="str">
        <f t="shared" si="45"/>
        <v>OK</v>
      </c>
      <c r="L155" s="335" t="str">
        <f t="shared" si="45"/>
        <v>OK</v>
      </c>
      <c r="M155" s="335" t="str">
        <f t="shared" si="45"/>
        <v>OK</v>
      </c>
      <c r="N155" s="335" t="str">
        <f t="shared" si="45"/>
        <v>OK</v>
      </c>
      <c r="O155" s="335" t="str">
        <f t="shared" si="45"/>
        <v>OK</v>
      </c>
      <c r="P155" s="335" t="str">
        <f t="shared" si="45"/>
        <v>OK</v>
      </c>
      <c r="Q155" s="335" t="str">
        <f t="shared" si="45"/>
        <v>OK</v>
      </c>
      <c r="R155" s="335" t="str">
        <f t="shared" si="45"/>
        <v>OK</v>
      </c>
      <c r="S155" s="335" t="str">
        <f t="shared" si="45"/>
        <v>OK</v>
      </c>
      <c r="T155" s="335" t="str">
        <f t="shared" si="45"/>
        <v>OK</v>
      </c>
      <c r="U155" s="335" t="str">
        <f t="shared" si="45"/>
        <v>OK</v>
      </c>
      <c r="V155" s="335" t="str">
        <f t="shared" si="45"/>
        <v>OK</v>
      </c>
      <c r="W155" s="335" t="str">
        <f t="shared" si="45"/>
        <v>OK</v>
      </c>
      <c r="X155" s="335" t="str">
        <f t="shared" si="45"/>
        <v>OK</v>
      </c>
      <c r="Y155" s="335" t="str">
        <f t="shared" si="45"/>
        <v>OK</v>
      </c>
      <c r="Z155" s="335" t="str">
        <f t="shared" si="45"/>
        <v>OK</v>
      </c>
      <c r="AA155" s="335" t="str">
        <f t="shared" si="45"/>
        <v>OK</v>
      </c>
      <c r="AB155" s="335" t="str">
        <f t="shared" si="45"/>
        <v>OK</v>
      </c>
      <c r="AC155" s="335" t="str">
        <f t="shared" si="45"/>
        <v>OK</v>
      </c>
      <c r="AD155" s="335" t="str">
        <f t="shared" si="45"/>
        <v>OK</v>
      </c>
      <c r="AE155" s="335" t="str">
        <f t="shared" si="45"/>
        <v>OK</v>
      </c>
      <c r="AF155" s="335" t="str">
        <f t="shared" si="45"/>
        <v>OK</v>
      </c>
      <c r="AG155" s="335" t="str">
        <f t="shared" si="45"/>
        <v>OK</v>
      </c>
      <c r="AH155" s="335" t="str">
        <f t="shared" si="45"/>
        <v>OK</v>
      </c>
      <c r="AI155" s="335" t="str">
        <f t="shared" si="45"/>
        <v>OK</v>
      </c>
      <c r="AJ155" s="335" t="str">
        <f t="shared" si="45"/>
        <v>OK</v>
      </c>
      <c r="AK155" s="335" t="str">
        <f t="shared" si="45"/>
        <v>OK</v>
      </c>
      <c r="AL155" s="336" t="str">
        <f t="shared" si="45"/>
        <v>OK</v>
      </c>
      <c r="AM155" s="22"/>
    </row>
    <row r="156" spans="2:39" hidden="1" outlineLevel="2">
      <c r="B156" s="360" t="s">
        <v>321</v>
      </c>
      <c r="C156" s="361"/>
      <c r="D156" s="89" t="s">
        <v>372</v>
      </c>
      <c r="E156" s="407" t="s">
        <v>31</v>
      </c>
      <c r="F156" s="408" t="s">
        <v>31</v>
      </c>
      <c r="G156" s="408" t="s">
        <v>31</v>
      </c>
      <c r="H156" s="409" t="s">
        <v>31</v>
      </c>
      <c r="I156" s="342" t="str">
        <f t="shared" ref="I156:AL156" si="46">IF(I32&gt;=I33,"OK","BŁĄD")</f>
        <v>OK</v>
      </c>
      <c r="J156" s="335" t="str">
        <f t="shared" si="46"/>
        <v>OK</v>
      </c>
      <c r="K156" s="335" t="str">
        <f t="shared" si="46"/>
        <v>OK</v>
      </c>
      <c r="L156" s="335" t="str">
        <f t="shared" si="46"/>
        <v>OK</v>
      </c>
      <c r="M156" s="335" t="str">
        <f t="shared" si="46"/>
        <v>OK</v>
      </c>
      <c r="N156" s="335" t="str">
        <f t="shared" si="46"/>
        <v>OK</v>
      </c>
      <c r="O156" s="335" t="str">
        <f t="shared" si="46"/>
        <v>OK</v>
      </c>
      <c r="P156" s="335" t="str">
        <f t="shared" si="46"/>
        <v>OK</v>
      </c>
      <c r="Q156" s="335" t="str">
        <f t="shared" si="46"/>
        <v>OK</v>
      </c>
      <c r="R156" s="335" t="str">
        <f t="shared" si="46"/>
        <v>OK</v>
      </c>
      <c r="S156" s="335" t="str">
        <f t="shared" si="46"/>
        <v>OK</v>
      </c>
      <c r="T156" s="335" t="str">
        <f t="shared" si="46"/>
        <v>OK</v>
      </c>
      <c r="U156" s="335" t="str">
        <f t="shared" si="46"/>
        <v>OK</v>
      </c>
      <c r="V156" s="335" t="str">
        <f t="shared" si="46"/>
        <v>OK</v>
      </c>
      <c r="W156" s="335" t="str">
        <f t="shared" si="46"/>
        <v>OK</v>
      </c>
      <c r="X156" s="335" t="str">
        <f t="shared" si="46"/>
        <v>OK</v>
      </c>
      <c r="Y156" s="335" t="str">
        <f t="shared" si="46"/>
        <v>OK</v>
      </c>
      <c r="Z156" s="335" t="str">
        <f t="shared" si="46"/>
        <v>OK</v>
      </c>
      <c r="AA156" s="335" t="str">
        <f t="shared" si="46"/>
        <v>OK</v>
      </c>
      <c r="AB156" s="335" t="str">
        <f t="shared" si="46"/>
        <v>OK</v>
      </c>
      <c r="AC156" s="335" t="str">
        <f t="shared" si="46"/>
        <v>OK</v>
      </c>
      <c r="AD156" s="335" t="str">
        <f t="shared" si="46"/>
        <v>OK</v>
      </c>
      <c r="AE156" s="335" t="str">
        <f t="shared" si="46"/>
        <v>OK</v>
      </c>
      <c r="AF156" s="335" t="str">
        <f t="shared" si="46"/>
        <v>OK</v>
      </c>
      <c r="AG156" s="335" t="str">
        <f t="shared" si="46"/>
        <v>OK</v>
      </c>
      <c r="AH156" s="335" t="str">
        <f t="shared" si="46"/>
        <v>OK</v>
      </c>
      <c r="AI156" s="335" t="str">
        <f t="shared" si="46"/>
        <v>OK</v>
      </c>
      <c r="AJ156" s="335" t="str">
        <f t="shared" si="46"/>
        <v>OK</v>
      </c>
      <c r="AK156" s="335" t="str">
        <f t="shared" si="46"/>
        <v>OK</v>
      </c>
      <c r="AL156" s="336" t="str">
        <f t="shared" si="46"/>
        <v>OK</v>
      </c>
      <c r="AM156" s="22"/>
    </row>
    <row r="157" spans="2:39" hidden="1" outlineLevel="2">
      <c r="B157" s="360" t="s">
        <v>325</v>
      </c>
      <c r="C157" s="361"/>
      <c r="D157" s="89" t="s">
        <v>376</v>
      </c>
      <c r="E157" s="407" t="s">
        <v>31</v>
      </c>
      <c r="F157" s="408" t="s">
        <v>31</v>
      </c>
      <c r="G157" s="408" t="s">
        <v>31</v>
      </c>
      <c r="H157" s="409" t="s">
        <v>31</v>
      </c>
      <c r="I157" s="342" t="str">
        <f t="shared" ref="I157:AL157" si="47">IF(I35&gt;=I36,"OK","BŁĄD")</f>
        <v>OK</v>
      </c>
      <c r="J157" s="335" t="str">
        <f t="shared" si="47"/>
        <v>OK</v>
      </c>
      <c r="K157" s="335" t="str">
        <f t="shared" si="47"/>
        <v>OK</v>
      </c>
      <c r="L157" s="335" t="str">
        <f t="shared" si="47"/>
        <v>OK</v>
      </c>
      <c r="M157" s="335" t="str">
        <f t="shared" si="47"/>
        <v>OK</v>
      </c>
      <c r="N157" s="335" t="str">
        <f t="shared" si="47"/>
        <v>OK</v>
      </c>
      <c r="O157" s="335" t="str">
        <f t="shared" si="47"/>
        <v>OK</v>
      </c>
      <c r="P157" s="335" t="str">
        <f t="shared" si="47"/>
        <v>OK</v>
      </c>
      <c r="Q157" s="335" t="str">
        <f t="shared" si="47"/>
        <v>OK</v>
      </c>
      <c r="R157" s="335" t="str">
        <f t="shared" si="47"/>
        <v>OK</v>
      </c>
      <c r="S157" s="335" t="str">
        <f t="shared" si="47"/>
        <v>OK</v>
      </c>
      <c r="T157" s="335" t="str">
        <f t="shared" si="47"/>
        <v>OK</v>
      </c>
      <c r="U157" s="335" t="str">
        <f t="shared" si="47"/>
        <v>OK</v>
      </c>
      <c r="V157" s="335" t="str">
        <f t="shared" si="47"/>
        <v>OK</v>
      </c>
      <c r="W157" s="335" t="str">
        <f t="shared" si="47"/>
        <v>OK</v>
      </c>
      <c r="X157" s="335" t="str">
        <f t="shared" si="47"/>
        <v>OK</v>
      </c>
      <c r="Y157" s="335" t="str">
        <f t="shared" si="47"/>
        <v>OK</v>
      </c>
      <c r="Z157" s="335" t="str">
        <f t="shared" si="47"/>
        <v>OK</v>
      </c>
      <c r="AA157" s="335" t="str">
        <f t="shared" si="47"/>
        <v>OK</v>
      </c>
      <c r="AB157" s="335" t="str">
        <f t="shared" si="47"/>
        <v>OK</v>
      </c>
      <c r="AC157" s="335" t="str">
        <f t="shared" si="47"/>
        <v>OK</v>
      </c>
      <c r="AD157" s="335" t="str">
        <f t="shared" si="47"/>
        <v>OK</v>
      </c>
      <c r="AE157" s="335" t="str">
        <f t="shared" si="47"/>
        <v>OK</v>
      </c>
      <c r="AF157" s="335" t="str">
        <f t="shared" si="47"/>
        <v>OK</v>
      </c>
      <c r="AG157" s="335" t="str">
        <f t="shared" si="47"/>
        <v>OK</v>
      </c>
      <c r="AH157" s="335" t="str">
        <f t="shared" si="47"/>
        <v>OK</v>
      </c>
      <c r="AI157" s="335" t="str">
        <f t="shared" si="47"/>
        <v>OK</v>
      </c>
      <c r="AJ157" s="335" t="str">
        <f t="shared" si="47"/>
        <v>OK</v>
      </c>
      <c r="AK157" s="335" t="str">
        <f t="shared" si="47"/>
        <v>OK</v>
      </c>
      <c r="AL157" s="336" t="str">
        <f t="shared" si="47"/>
        <v>OK</v>
      </c>
      <c r="AM157" s="22"/>
    </row>
    <row r="158" spans="2:39" hidden="1" outlineLevel="2">
      <c r="B158" s="360" t="s">
        <v>322</v>
      </c>
      <c r="C158" s="361"/>
      <c r="D158" s="89" t="s">
        <v>373</v>
      </c>
      <c r="E158" s="407" t="s">
        <v>31</v>
      </c>
      <c r="F158" s="408" t="s">
        <v>31</v>
      </c>
      <c r="G158" s="408" t="s">
        <v>31</v>
      </c>
      <c r="H158" s="409" t="s">
        <v>31</v>
      </c>
      <c r="I158" s="342" t="str">
        <f t="shared" ref="I158:AL158" si="48">IF(I36&gt;=I37,"OK","BŁĄD")</f>
        <v>OK</v>
      </c>
      <c r="J158" s="335" t="str">
        <f t="shared" si="48"/>
        <v>OK</v>
      </c>
      <c r="K158" s="335" t="str">
        <f t="shared" si="48"/>
        <v>OK</v>
      </c>
      <c r="L158" s="335" t="str">
        <f t="shared" si="48"/>
        <v>OK</v>
      </c>
      <c r="M158" s="335" t="str">
        <f t="shared" si="48"/>
        <v>OK</v>
      </c>
      <c r="N158" s="335" t="str">
        <f t="shared" si="48"/>
        <v>OK</v>
      </c>
      <c r="O158" s="335" t="str">
        <f t="shared" si="48"/>
        <v>OK</v>
      </c>
      <c r="P158" s="335" t="str">
        <f t="shared" si="48"/>
        <v>OK</v>
      </c>
      <c r="Q158" s="335" t="str">
        <f t="shared" si="48"/>
        <v>OK</v>
      </c>
      <c r="R158" s="335" t="str">
        <f t="shared" si="48"/>
        <v>OK</v>
      </c>
      <c r="S158" s="335" t="str">
        <f t="shared" si="48"/>
        <v>OK</v>
      </c>
      <c r="T158" s="335" t="str">
        <f t="shared" si="48"/>
        <v>OK</v>
      </c>
      <c r="U158" s="335" t="str">
        <f t="shared" si="48"/>
        <v>OK</v>
      </c>
      <c r="V158" s="335" t="str">
        <f t="shared" si="48"/>
        <v>OK</v>
      </c>
      <c r="W158" s="335" t="str">
        <f t="shared" si="48"/>
        <v>OK</v>
      </c>
      <c r="X158" s="335" t="str">
        <f t="shared" si="48"/>
        <v>OK</v>
      </c>
      <c r="Y158" s="335" t="str">
        <f t="shared" si="48"/>
        <v>OK</v>
      </c>
      <c r="Z158" s="335" t="str">
        <f t="shared" si="48"/>
        <v>OK</v>
      </c>
      <c r="AA158" s="335" t="str">
        <f t="shared" si="48"/>
        <v>OK</v>
      </c>
      <c r="AB158" s="335" t="str">
        <f t="shared" si="48"/>
        <v>OK</v>
      </c>
      <c r="AC158" s="335" t="str">
        <f t="shared" si="48"/>
        <v>OK</v>
      </c>
      <c r="AD158" s="335" t="str">
        <f t="shared" si="48"/>
        <v>OK</v>
      </c>
      <c r="AE158" s="335" t="str">
        <f t="shared" si="48"/>
        <v>OK</v>
      </c>
      <c r="AF158" s="335" t="str">
        <f t="shared" si="48"/>
        <v>OK</v>
      </c>
      <c r="AG158" s="335" t="str">
        <f t="shared" si="48"/>
        <v>OK</v>
      </c>
      <c r="AH158" s="335" t="str">
        <f t="shared" si="48"/>
        <v>OK</v>
      </c>
      <c r="AI158" s="335" t="str">
        <f t="shared" si="48"/>
        <v>OK</v>
      </c>
      <c r="AJ158" s="335" t="str">
        <f t="shared" si="48"/>
        <v>OK</v>
      </c>
      <c r="AK158" s="335" t="str">
        <f t="shared" si="48"/>
        <v>OK</v>
      </c>
      <c r="AL158" s="336" t="str">
        <f t="shared" si="48"/>
        <v>OK</v>
      </c>
      <c r="AM158" s="22"/>
    </row>
    <row r="159" spans="2:39" hidden="1" outlineLevel="2">
      <c r="B159" s="360" t="s">
        <v>323</v>
      </c>
      <c r="C159" s="361"/>
      <c r="D159" s="89" t="s">
        <v>374</v>
      </c>
      <c r="E159" s="407" t="s">
        <v>31</v>
      </c>
      <c r="F159" s="408" t="s">
        <v>31</v>
      </c>
      <c r="G159" s="408" t="s">
        <v>31</v>
      </c>
      <c r="H159" s="409" t="s">
        <v>31</v>
      </c>
      <c r="I159" s="342" t="str">
        <f t="shared" ref="I159:AL159" si="49">IF(I35&gt;=I61,"OK","BŁĄD")</f>
        <v>OK</v>
      </c>
      <c r="J159" s="335" t="str">
        <f t="shared" si="49"/>
        <v>OK</v>
      </c>
      <c r="K159" s="335" t="str">
        <f t="shared" si="49"/>
        <v>OK</v>
      </c>
      <c r="L159" s="335" t="str">
        <f t="shared" si="49"/>
        <v>OK</v>
      </c>
      <c r="M159" s="335" t="str">
        <f t="shared" si="49"/>
        <v>OK</v>
      </c>
      <c r="N159" s="335" t="str">
        <f t="shared" si="49"/>
        <v>OK</v>
      </c>
      <c r="O159" s="335" t="str">
        <f t="shared" si="49"/>
        <v>OK</v>
      </c>
      <c r="P159" s="335" t="str">
        <f t="shared" si="49"/>
        <v>OK</v>
      </c>
      <c r="Q159" s="335" t="str">
        <f t="shared" si="49"/>
        <v>OK</v>
      </c>
      <c r="R159" s="335" t="str">
        <f t="shared" si="49"/>
        <v>OK</v>
      </c>
      <c r="S159" s="335" t="str">
        <f t="shared" si="49"/>
        <v>OK</v>
      </c>
      <c r="T159" s="335" t="str">
        <f t="shared" si="49"/>
        <v>OK</v>
      </c>
      <c r="U159" s="335" t="str">
        <f t="shared" si="49"/>
        <v>OK</v>
      </c>
      <c r="V159" s="335" t="str">
        <f t="shared" si="49"/>
        <v>OK</v>
      </c>
      <c r="W159" s="335" t="str">
        <f t="shared" si="49"/>
        <v>OK</v>
      </c>
      <c r="X159" s="335" t="str">
        <f t="shared" si="49"/>
        <v>OK</v>
      </c>
      <c r="Y159" s="335" t="str">
        <f t="shared" si="49"/>
        <v>OK</v>
      </c>
      <c r="Z159" s="335" t="str">
        <f t="shared" si="49"/>
        <v>OK</v>
      </c>
      <c r="AA159" s="335" t="str">
        <f t="shared" si="49"/>
        <v>OK</v>
      </c>
      <c r="AB159" s="335" t="str">
        <f t="shared" si="49"/>
        <v>OK</v>
      </c>
      <c r="AC159" s="335" t="str">
        <f t="shared" si="49"/>
        <v>OK</v>
      </c>
      <c r="AD159" s="335" t="str">
        <f t="shared" si="49"/>
        <v>OK</v>
      </c>
      <c r="AE159" s="335" t="str">
        <f t="shared" si="49"/>
        <v>OK</v>
      </c>
      <c r="AF159" s="335" t="str">
        <f t="shared" si="49"/>
        <v>OK</v>
      </c>
      <c r="AG159" s="335" t="str">
        <f t="shared" si="49"/>
        <v>OK</v>
      </c>
      <c r="AH159" s="335" t="str">
        <f t="shared" si="49"/>
        <v>OK</v>
      </c>
      <c r="AI159" s="335" t="str">
        <f t="shared" si="49"/>
        <v>OK</v>
      </c>
      <c r="AJ159" s="335" t="str">
        <f t="shared" si="49"/>
        <v>OK</v>
      </c>
      <c r="AK159" s="335" t="str">
        <f t="shared" si="49"/>
        <v>OK</v>
      </c>
      <c r="AL159" s="336" t="str">
        <f t="shared" si="49"/>
        <v>OK</v>
      </c>
      <c r="AM159" s="22"/>
    </row>
    <row r="160" spans="2:39" hidden="1" outlineLevel="2">
      <c r="B160" s="360" t="s">
        <v>324</v>
      </c>
      <c r="C160" s="361"/>
      <c r="D160" s="89" t="s">
        <v>375</v>
      </c>
      <c r="E160" s="407" t="s">
        <v>31</v>
      </c>
      <c r="F160" s="408" t="s">
        <v>31</v>
      </c>
      <c r="G160" s="408" t="s">
        <v>31</v>
      </c>
      <c r="H160" s="409" t="s">
        <v>31</v>
      </c>
      <c r="I160" s="342" t="str">
        <f t="shared" ref="I160:AL160" si="50">IF(I35&gt;=I93,"OK","BŁĄD")</f>
        <v>OK</v>
      </c>
      <c r="J160" s="335" t="str">
        <f t="shared" si="50"/>
        <v>OK</v>
      </c>
      <c r="K160" s="335" t="str">
        <f t="shared" si="50"/>
        <v>OK</v>
      </c>
      <c r="L160" s="335" t="str">
        <f t="shared" si="50"/>
        <v>OK</v>
      </c>
      <c r="M160" s="335" t="str">
        <f t="shared" si="50"/>
        <v>OK</v>
      </c>
      <c r="N160" s="335" t="str">
        <f t="shared" si="50"/>
        <v>OK</v>
      </c>
      <c r="O160" s="335" t="str">
        <f t="shared" si="50"/>
        <v>OK</v>
      </c>
      <c r="P160" s="335" t="str">
        <f t="shared" si="50"/>
        <v>OK</v>
      </c>
      <c r="Q160" s="335" t="str">
        <f t="shared" si="50"/>
        <v>OK</v>
      </c>
      <c r="R160" s="335" t="str">
        <f t="shared" si="50"/>
        <v>OK</v>
      </c>
      <c r="S160" s="335" t="str">
        <f t="shared" si="50"/>
        <v>OK</v>
      </c>
      <c r="T160" s="335" t="str">
        <f t="shared" si="50"/>
        <v>OK</v>
      </c>
      <c r="U160" s="335" t="str">
        <f t="shared" si="50"/>
        <v>OK</v>
      </c>
      <c r="V160" s="335" t="str">
        <f t="shared" si="50"/>
        <v>OK</v>
      </c>
      <c r="W160" s="335" t="str">
        <f t="shared" si="50"/>
        <v>OK</v>
      </c>
      <c r="X160" s="335" t="str">
        <f t="shared" si="50"/>
        <v>OK</v>
      </c>
      <c r="Y160" s="335" t="str">
        <f t="shared" si="50"/>
        <v>OK</v>
      </c>
      <c r="Z160" s="335" t="str">
        <f t="shared" si="50"/>
        <v>OK</v>
      </c>
      <c r="AA160" s="335" t="str">
        <f t="shared" si="50"/>
        <v>OK</v>
      </c>
      <c r="AB160" s="335" t="str">
        <f t="shared" si="50"/>
        <v>OK</v>
      </c>
      <c r="AC160" s="335" t="str">
        <f t="shared" si="50"/>
        <v>OK</v>
      </c>
      <c r="AD160" s="335" t="str">
        <f t="shared" si="50"/>
        <v>OK</v>
      </c>
      <c r="AE160" s="335" t="str">
        <f t="shared" si="50"/>
        <v>OK</v>
      </c>
      <c r="AF160" s="335" t="str">
        <f t="shared" si="50"/>
        <v>OK</v>
      </c>
      <c r="AG160" s="335" t="str">
        <f t="shared" si="50"/>
        <v>OK</v>
      </c>
      <c r="AH160" s="335" t="str">
        <f t="shared" si="50"/>
        <v>OK</v>
      </c>
      <c r="AI160" s="335" t="str">
        <f t="shared" si="50"/>
        <v>OK</v>
      </c>
      <c r="AJ160" s="335" t="str">
        <f t="shared" si="50"/>
        <v>OK</v>
      </c>
      <c r="AK160" s="335" t="str">
        <f t="shared" si="50"/>
        <v>OK</v>
      </c>
      <c r="AL160" s="336" t="str">
        <f t="shared" si="50"/>
        <v>OK</v>
      </c>
      <c r="AM160" s="22"/>
    </row>
    <row r="161" spans="2:39" hidden="1" outlineLevel="2">
      <c r="B161" s="360" t="s">
        <v>328</v>
      </c>
      <c r="C161" s="361"/>
      <c r="D161" s="89" t="s">
        <v>379</v>
      </c>
      <c r="E161" s="407" t="s">
        <v>31</v>
      </c>
      <c r="F161" s="408" t="s">
        <v>31</v>
      </c>
      <c r="G161" s="408" t="s">
        <v>31</v>
      </c>
      <c r="H161" s="409" t="s">
        <v>31</v>
      </c>
      <c r="I161" s="342" t="str">
        <f t="shared" ref="I161:AL161" si="51">IF(I39&gt;=I40,"OK","BŁĄD")</f>
        <v>OK</v>
      </c>
      <c r="J161" s="335" t="str">
        <f t="shared" si="51"/>
        <v>OK</v>
      </c>
      <c r="K161" s="335" t="str">
        <f t="shared" si="51"/>
        <v>OK</v>
      </c>
      <c r="L161" s="335" t="str">
        <f t="shared" si="51"/>
        <v>OK</v>
      </c>
      <c r="M161" s="335" t="str">
        <f t="shared" si="51"/>
        <v>OK</v>
      </c>
      <c r="N161" s="335" t="str">
        <f t="shared" si="51"/>
        <v>OK</v>
      </c>
      <c r="O161" s="335" t="str">
        <f t="shared" si="51"/>
        <v>OK</v>
      </c>
      <c r="P161" s="335" t="str">
        <f t="shared" si="51"/>
        <v>OK</v>
      </c>
      <c r="Q161" s="335" t="str">
        <f t="shared" si="51"/>
        <v>OK</v>
      </c>
      <c r="R161" s="335" t="str">
        <f t="shared" si="51"/>
        <v>OK</v>
      </c>
      <c r="S161" s="335" t="str">
        <f t="shared" si="51"/>
        <v>OK</v>
      </c>
      <c r="T161" s="335" t="str">
        <f t="shared" si="51"/>
        <v>OK</v>
      </c>
      <c r="U161" s="335" t="str">
        <f t="shared" si="51"/>
        <v>OK</v>
      </c>
      <c r="V161" s="335" t="str">
        <f t="shared" si="51"/>
        <v>OK</v>
      </c>
      <c r="W161" s="335" t="str">
        <f t="shared" si="51"/>
        <v>OK</v>
      </c>
      <c r="X161" s="335" t="str">
        <f t="shared" si="51"/>
        <v>OK</v>
      </c>
      <c r="Y161" s="335" t="str">
        <f t="shared" si="51"/>
        <v>OK</v>
      </c>
      <c r="Z161" s="335" t="str">
        <f t="shared" si="51"/>
        <v>OK</v>
      </c>
      <c r="AA161" s="335" t="str">
        <f t="shared" si="51"/>
        <v>OK</v>
      </c>
      <c r="AB161" s="335" t="str">
        <f t="shared" si="51"/>
        <v>OK</v>
      </c>
      <c r="AC161" s="335" t="str">
        <f t="shared" si="51"/>
        <v>OK</v>
      </c>
      <c r="AD161" s="335" t="str">
        <f t="shared" si="51"/>
        <v>OK</v>
      </c>
      <c r="AE161" s="335" t="str">
        <f t="shared" si="51"/>
        <v>OK</v>
      </c>
      <c r="AF161" s="335" t="str">
        <f t="shared" si="51"/>
        <v>OK</v>
      </c>
      <c r="AG161" s="335" t="str">
        <f t="shared" si="51"/>
        <v>OK</v>
      </c>
      <c r="AH161" s="335" t="str">
        <f t="shared" si="51"/>
        <v>OK</v>
      </c>
      <c r="AI161" s="335" t="str">
        <f t="shared" si="51"/>
        <v>OK</v>
      </c>
      <c r="AJ161" s="335" t="str">
        <f t="shared" si="51"/>
        <v>OK</v>
      </c>
      <c r="AK161" s="335" t="str">
        <f t="shared" si="51"/>
        <v>OK</v>
      </c>
      <c r="AL161" s="336" t="str">
        <f t="shared" si="51"/>
        <v>OK</v>
      </c>
      <c r="AM161" s="22"/>
    </row>
    <row r="162" spans="2:39" hidden="1" outlineLevel="2">
      <c r="B162" s="360" t="s">
        <v>329</v>
      </c>
      <c r="C162" s="361"/>
      <c r="D162" s="89" t="s">
        <v>380</v>
      </c>
      <c r="E162" s="407" t="s">
        <v>31</v>
      </c>
      <c r="F162" s="408" t="s">
        <v>31</v>
      </c>
      <c r="G162" s="408" t="s">
        <v>31</v>
      </c>
      <c r="H162" s="409" t="s">
        <v>31</v>
      </c>
      <c r="I162" s="342" t="str">
        <f t="shared" ref="I162:AL162" si="52">IF(I39&gt;=I44,"OK","BŁĄD")</f>
        <v>OK</v>
      </c>
      <c r="J162" s="335" t="str">
        <f t="shared" si="52"/>
        <v>OK</v>
      </c>
      <c r="K162" s="335" t="str">
        <f t="shared" si="52"/>
        <v>OK</v>
      </c>
      <c r="L162" s="335" t="str">
        <f t="shared" si="52"/>
        <v>OK</v>
      </c>
      <c r="M162" s="335" t="str">
        <f t="shared" si="52"/>
        <v>OK</v>
      </c>
      <c r="N162" s="335" t="str">
        <f t="shared" si="52"/>
        <v>OK</v>
      </c>
      <c r="O162" s="335" t="str">
        <f t="shared" si="52"/>
        <v>OK</v>
      </c>
      <c r="P162" s="335" t="str">
        <f t="shared" si="52"/>
        <v>OK</v>
      </c>
      <c r="Q162" s="335" t="str">
        <f t="shared" si="52"/>
        <v>OK</v>
      </c>
      <c r="R162" s="335" t="str">
        <f t="shared" si="52"/>
        <v>OK</v>
      </c>
      <c r="S162" s="335" t="str">
        <f t="shared" si="52"/>
        <v>OK</v>
      </c>
      <c r="T162" s="335" t="str">
        <f t="shared" si="52"/>
        <v>OK</v>
      </c>
      <c r="U162" s="335" t="str">
        <f t="shared" si="52"/>
        <v>OK</v>
      </c>
      <c r="V162" s="335" t="str">
        <f t="shared" si="52"/>
        <v>OK</v>
      </c>
      <c r="W162" s="335" t="str">
        <f t="shared" si="52"/>
        <v>OK</v>
      </c>
      <c r="X162" s="335" t="str">
        <f t="shared" si="52"/>
        <v>OK</v>
      </c>
      <c r="Y162" s="335" t="str">
        <f t="shared" si="52"/>
        <v>OK</v>
      </c>
      <c r="Z162" s="335" t="str">
        <f t="shared" si="52"/>
        <v>OK</v>
      </c>
      <c r="AA162" s="335" t="str">
        <f t="shared" si="52"/>
        <v>OK</v>
      </c>
      <c r="AB162" s="335" t="str">
        <f t="shared" si="52"/>
        <v>OK</v>
      </c>
      <c r="AC162" s="335" t="str">
        <f t="shared" si="52"/>
        <v>OK</v>
      </c>
      <c r="AD162" s="335" t="str">
        <f t="shared" si="52"/>
        <v>OK</v>
      </c>
      <c r="AE162" s="335" t="str">
        <f t="shared" si="52"/>
        <v>OK</v>
      </c>
      <c r="AF162" s="335" t="str">
        <f t="shared" si="52"/>
        <v>OK</v>
      </c>
      <c r="AG162" s="335" t="str">
        <f t="shared" si="52"/>
        <v>OK</v>
      </c>
      <c r="AH162" s="335" t="str">
        <f t="shared" si="52"/>
        <v>OK</v>
      </c>
      <c r="AI162" s="335" t="str">
        <f t="shared" si="52"/>
        <v>OK</v>
      </c>
      <c r="AJ162" s="335" t="str">
        <f t="shared" si="52"/>
        <v>OK</v>
      </c>
      <c r="AK162" s="335" t="str">
        <f t="shared" si="52"/>
        <v>OK</v>
      </c>
      <c r="AL162" s="336" t="str">
        <f t="shared" si="52"/>
        <v>OK</v>
      </c>
      <c r="AM162" s="22"/>
    </row>
    <row r="163" spans="2:39" hidden="1" outlineLevel="2">
      <c r="B163" s="360" t="s">
        <v>327</v>
      </c>
      <c r="C163" s="361"/>
      <c r="D163" s="89" t="s">
        <v>378</v>
      </c>
      <c r="E163" s="407" t="s">
        <v>31</v>
      </c>
      <c r="F163" s="408" t="s">
        <v>31</v>
      </c>
      <c r="G163" s="408" t="s">
        <v>31</v>
      </c>
      <c r="H163" s="409" t="s">
        <v>31</v>
      </c>
      <c r="I163" s="342" t="str">
        <f t="shared" ref="I163:AL163" si="53">IF(I39&gt;=I94,"OK","BŁĄD")</f>
        <v>OK</v>
      </c>
      <c r="J163" s="335" t="str">
        <f t="shared" si="53"/>
        <v>OK</v>
      </c>
      <c r="K163" s="335" t="str">
        <f t="shared" si="53"/>
        <v>OK</v>
      </c>
      <c r="L163" s="335" t="str">
        <f t="shared" si="53"/>
        <v>OK</v>
      </c>
      <c r="M163" s="335" t="str">
        <f t="shared" si="53"/>
        <v>OK</v>
      </c>
      <c r="N163" s="335" t="str">
        <f t="shared" si="53"/>
        <v>OK</v>
      </c>
      <c r="O163" s="335" t="str">
        <f t="shared" si="53"/>
        <v>OK</v>
      </c>
      <c r="P163" s="335" t="str">
        <f t="shared" si="53"/>
        <v>OK</v>
      </c>
      <c r="Q163" s="335" t="str">
        <f t="shared" si="53"/>
        <v>OK</v>
      </c>
      <c r="R163" s="335" t="str">
        <f t="shared" si="53"/>
        <v>OK</v>
      </c>
      <c r="S163" s="335" t="str">
        <f t="shared" si="53"/>
        <v>OK</v>
      </c>
      <c r="T163" s="335" t="str">
        <f t="shared" si="53"/>
        <v>OK</v>
      </c>
      <c r="U163" s="335" t="str">
        <f t="shared" si="53"/>
        <v>OK</v>
      </c>
      <c r="V163" s="335" t="str">
        <f t="shared" si="53"/>
        <v>OK</v>
      </c>
      <c r="W163" s="335" t="str">
        <f t="shared" si="53"/>
        <v>OK</v>
      </c>
      <c r="X163" s="335" t="str">
        <f t="shared" si="53"/>
        <v>OK</v>
      </c>
      <c r="Y163" s="335" t="str">
        <f t="shared" si="53"/>
        <v>OK</v>
      </c>
      <c r="Z163" s="335" t="str">
        <f t="shared" si="53"/>
        <v>OK</v>
      </c>
      <c r="AA163" s="335" t="str">
        <f t="shared" si="53"/>
        <v>OK</v>
      </c>
      <c r="AB163" s="335" t="str">
        <f t="shared" si="53"/>
        <v>OK</v>
      </c>
      <c r="AC163" s="335" t="str">
        <f t="shared" si="53"/>
        <v>OK</v>
      </c>
      <c r="AD163" s="335" t="str">
        <f t="shared" si="53"/>
        <v>OK</v>
      </c>
      <c r="AE163" s="335" t="str">
        <f t="shared" si="53"/>
        <v>OK</v>
      </c>
      <c r="AF163" s="335" t="str">
        <f t="shared" si="53"/>
        <v>OK</v>
      </c>
      <c r="AG163" s="335" t="str">
        <f t="shared" si="53"/>
        <v>OK</v>
      </c>
      <c r="AH163" s="335" t="str">
        <f t="shared" si="53"/>
        <v>OK</v>
      </c>
      <c r="AI163" s="335" t="str">
        <f t="shared" si="53"/>
        <v>OK</v>
      </c>
      <c r="AJ163" s="335" t="str">
        <f t="shared" si="53"/>
        <v>OK</v>
      </c>
      <c r="AK163" s="335" t="str">
        <f t="shared" si="53"/>
        <v>OK</v>
      </c>
      <c r="AL163" s="336" t="str">
        <f t="shared" si="53"/>
        <v>OK</v>
      </c>
      <c r="AM163" s="22"/>
    </row>
    <row r="164" spans="2:39" hidden="1" outlineLevel="2">
      <c r="B164" s="360" t="s">
        <v>326</v>
      </c>
      <c r="C164" s="361"/>
      <c r="D164" s="89" t="s">
        <v>377</v>
      </c>
      <c r="E164" s="407" t="s">
        <v>31</v>
      </c>
      <c r="F164" s="408" t="s">
        <v>31</v>
      </c>
      <c r="G164" s="408" t="s">
        <v>31</v>
      </c>
      <c r="H164" s="409" t="s">
        <v>31</v>
      </c>
      <c r="I164" s="342" t="str">
        <f t="shared" ref="I164:AL164" si="54">+IF(I40&gt;=I41,"OK","BŁĄD")</f>
        <v>OK</v>
      </c>
      <c r="J164" s="335" t="str">
        <f t="shared" si="54"/>
        <v>OK</v>
      </c>
      <c r="K164" s="335" t="str">
        <f t="shared" si="54"/>
        <v>OK</v>
      </c>
      <c r="L164" s="335" t="str">
        <f t="shared" si="54"/>
        <v>OK</v>
      </c>
      <c r="M164" s="335" t="str">
        <f t="shared" si="54"/>
        <v>OK</v>
      </c>
      <c r="N164" s="335" t="str">
        <f t="shared" si="54"/>
        <v>OK</v>
      </c>
      <c r="O164" s="335" t="str">
        <f t="shared" si="54"/>
        <v>OK</v>
      </c>
      <c r="P164" s="335" t="str">
        <f t="shared" si="54"/>
        <v>OK</v>
      </c>
      <c r="Q164" s="335" t="str">
        <f t="shared" si="54"/>
        <v>OK</v>
      </c>
      <c r="R164" s="335" t="str">
        <f t="shared" si="54"/>
        <v>OK</v>
      </c>
      <c r="S164" s="335" t="str">
        <f t="shared" si="54"/>
        <v>OK</v>
      </c>
      <c r="T164" s="335" t="str">
        <f t="shared" si="54"/>
        <v>OK</v>
      </c>
      <c r="U164" s="335" t="str">
        <f t="shared" si="54"/>
        <v>OK</v>
      </c>
      <c r="V164" s="335" t="str">
        <f t="shared" si="54"/>
        <v>OK</v>
      </c>
      <c r="W164" s="335" t="str">
        <f t="shared" si="54"/>
        <v>OK</v>
      </c>
      <c r="X164" s="335" t="str">
        <f t="shared" si="54"/>
        <v>OK</v>
      </c>
      <c r="Y164" s="335" t="str">
        <f t="shared" si="54"/>
        <v>OK</v>
      </c>
      <c r="Z164" s="335" t="str">
        <f t="shared" si="54"/>
        <v>OK</v>
      </c>
      <c r="AA164" s="335" t="str">
        <f t="shared" si="54"/>
        <v>OK</v>
      </c>
      <c r="AB164" s="335" t="str">
        <f t="shared" si="54"/>
        <v>OK</v>
      </c>
      <c r="AC164" s="335" t="str">
        <f t="shared" si="54"/>
        <v>OK</v>
      </c>
      <c r="AD164" s="335" t="str">
        <f t="shared" si="54"/>
        <v>OK</v>
      </c>
      <c r="AE164" s="335" t="str">
        <f t="shared" si="54"/>
        <v>OK</v>
      </c>
      <c r="AF164" s="335" t="str">
        <f t="shared" si="54"/>
        <v>OK</v>
      </c>
      <c r="AG164" s="335" t="str">
        <f t="shared" si="54"/>
        <v>OK</v>
      </c>
      <c r="AH164" s="335" t="str">
        <f t="shared" si="54"/>
        <v>OK</v>
      </c>
      <c r="AI164" s="335" t="str">
        <f t="shared" si="54"/>
        <v>OK</v>
      </c>
      <c r="AJ164" s="335" t="str">
        <f t="shared" si="54"/>
        <v>OK</v>
      </c>
      <c r="AK164" s="335" t="str">
        <f t="shared" si="54"/>
        <v>OK</v>
      </c>
      <c r="AL164" s="336" t="str">
        <f t="shared" si="54"/>
        <v>OK</v>
      </c>
      <c r="AM164" s="22"/>
    </row>
    <row r="165" spans="2:39" hidden="1" outlineLevel="2">
      <c r="B165" s="360" t="s">
        <v>330</v>
      </c>
      <c r="C165" s="361"/>
      <c r="D165" s="89" t="s">
        <v>381</v>
      </c>
      <c r="E165" s="407" t="s">
        <v>31</v>
      </c>
      <c r="F165" s="408" t="s">
        <v>31</v>
      </c>
      <c r="G165" s="408" t="s">
        <v>31</v>
      </c>
      <c r="H165" s="409" t="s">
        <v>31</v>
      </c>
      <c r="I165" s="342" t="str">
        <f t="shared" ref="I165:AL165" si="55">IF(I44&gt;=I85,"OK","BŁĄD")</f>
        <v>OK</v>
      </c>
      <c r="J165" s="335" t="str">
        <f t="shared" si="55"/>
        <v>OK</v>
      </c>
      <c r="K165" s="335" t="str">
        <f t="shared" si="55"/>
        <v>OK</v>
      </c>
      <c r="L165" s="335" t="str">
        <f t="shared" si="55"/>
        <v>OK</v>
      </c>
      <c r="M165" s="335" t="str">
        <f t="shared" si="55"/>
        <v>OK</v>
      </c>
      <c r="N165" s="335" t="str">
        <f t="shared" si="55"/>
        <v>OK</v>
      </c>
      <c r="O165" s="335" t="str">
        <f t="shared" si="55"/>
        <v>OK</v>
      </c>
      <c r="P165" s="335" t="str">
        <f t="shared" si="55"/>
        <v>OK</v>
      </c>
      <c r="Q165" s="335" t="str">
        <f t="shared" si="55"/>
        <v>OK</v>
      </c>
      <c r="R165" s="335" t="str">
        <f t="shared" si="55"/>
        <v>OK</v>
      </c>
      <c r="S165" s="335" t="str">
        <f t="shared" si="55"/>
        <v>OK</v>
      </c>
      <c r="T165" s="335" t="str">
        <f t="shared" si="55"/>
        <v>OK</v>
      </c>
      <c r="U165" s="335" t="str">
        <f t="shared" si="55"/>
        <v>OK</v>
      </c>
      <c r="V165" s="335" t="str">
        <f t="shared" si="55"/>
        <v>OK</v>
      </c>
      <c r="W165" s="335" t="str">
        <f t="shared" si="55"/>
        <v>OK</v>
      </c>
      <c r="X165" s="335" t="str">
        <f t="shared" si="55"/>
        <v>OK</v>
      </c>
      <c r="Y165" s="335" t="str">
        <f t="shared" si="55"/>
        <v>OK</v>
      </c>
      <c r="Z165" s="335" t="str">
        <f t="shared" si="55"/>
        <v>OK</v>
      </c>
      <c r="AA165" s="335" t="str">
        <f t="shared" si="55"/>
        <v>OK</v>
      </c>
      <c r="AB165" s="335" t="str">
        <f t="shared" si="55"/>
        <v>OK</v>
      </c>
      <c r="AC165" s="335" t="str">
        <f t="shared" si="55"/>
        <v>OK</v>
      </c>
      <c r="AD165" s="335" t="str">
        <f t="shared" si="55"/>
        <v>OK</v>
      </c>
      <c r="AE165" s="335" t="str">
        <f t="shared" si="55"/>
        <v>OK</v>
      </c>
      <c r="AF165" s="335" t="str">
        <f t="shared" si="55"/>
        <v>OK</v>
      </c>
      <c r="AG165" s="335" t="str">
        <f t="shared" si="55"/>
        <v>OK</v>
      </c>
      <c r="AH165" s="335" t="str">
        <f t="shared" si="55"/>
        <v>OK</v>
      </c>
      <c r="AI165" s="335" t="str">
        <f t="shared" si="55"/>
        <v>OK</v>
      </c>
      <c r="AJ165" s="335" t="str">
        <f t="shared" si="55"/>
        <v>OK</v>
      </c>
      <c r="AK165" s="335" t="str">
        <f t="shared" si="55"/>
        <v>OK</v>
      </c>
      <c r="AL165" s="336" t="str">
        <f t="shared" si="55"/>
        <v>OK</v>
      </c>
      <c r="AM165" s="22"/>
    </row>
    <row r="166" spans="2:39" hidden="1" outlineLevel="2">
      <c r="B166" s="362" t="s">
        <v>331</v>
      </c>
      <c r="C166" s="363"/>
      <c r="D166" s="90" t="s">
        <v>382</v>
      </c>
      <c r="E166" s="411" t="s">
        <v>31</v>
      </c>
      <c r="F166" s="412" t="s">
        <v>31</v>
      </c>
      <c r="G166" s="412" t="s">
        <v>31</v>
      </c>
      <c r="H166" s="413" t="s">
        <v>31</v>
      </c>
      <c r="I166" s="343" t="str">
        <f t="shared" ref="I166:AL166" si="56">IF(I21&lt;&gt;0,IF(I22&lt;&gt;0,"OK","BŁĄD"),"N/D")</f>
        <v>OK</v>
      </c>
      <c r="J166" s="339" t="str">
        <f t="shared" si="56"/>
        <v>OK</v>
      </c>
      <c r="K166" s="339" t="str">
        <f t="shared" si="56"/>
        <v>OK</v>
      </c>
      <c r="L166" s="339" t="str">
        <f t="shared" si="56"/>
        <v>OK</v>
      </c>
      <c r="M166" s="339" t="str">
        <f t="shared" si="56"/>
        <v>OK</v>
      </c>
      <c r="N166" s="339" t="str">
        <f t="shared" si="56"/>
        <v>OK</v>
      </c>
      <c r="O166" s="339" t="str">
        <f t="shared" si="56"/>
        <v>OK</v>
      </c>
      <c r="P166" s="339" t="str">
        <f t="shared" si="56"/>
        <v>OK</v>
      </c>
      <c r="Q166" s="339" t="str">
        <f t="shared" si="56"/>
        <v>OK</v>
      </c>
      <c r="R166" s="339" t="str">
        <f t="shared" si="56"/>
        <v>OK</v>
      </c>
      <c r="S166" s="339" t="str">
        <f t="shared" si="56"/>
        <v>OK</v>
      </c>
      <c r="T166" s="339" t="str">
        <f t="shared" si="56"/>
        <v>OK</v>
      </c>
      <c r="U166" s="339" t="str">
        <f t="shared" si="56"/>
        <v>OK</v>
      </c>
      <c r="V166" s="339" t="str">
        <f t="shared" si="56"/>
        <v>N/D</v>
      </c>
      <c r="W166" s="339" t="str">
        <f t="shared" si="56"/>
        <v>N/D</v>
      </c>
      <c r="X166" s="339" t="str">
        <f t="shared" si="56"/>
        <v>N/D</v>
      </c>
      <c r="Y166" s="339" t="str">
        <f t="shared" si="56"/>
        <v>N/D</v>
      </c>
      <c r="Z166" s="339" t="str">
        <f t="shared" si="56"/>
        <v>N/D</v>
      </c>
      <c r="AA166" s="339" t="str">
        <f t="shared" si="56"/>
        <v>N/D</v>
      </c>
      <c r="AB166" s="339" t="str">
        <f t="shared" si="56"/>
        <v>N/D</v>
      </c>
      <c r="AC166" s="339" t="str">
        <f t="shared" si="56"/>
        <v>N/D</v>
      </c>
      <c r="AD166" s="339" t="str">
        <f t="shared" si="56"/>
        <v>N/D</v>
      </c>
      <c r="AE166" s="339" t="str">
        <f t="shared" si="56"/>
        <v>N/D</v>
      </c>
      <c r="AF166" s="339" t="str">
        <f t="shared" si="56"/>
        <v>N/D</v>
      </c>
      <c r="AG166" s="339" t="str">
        <f t="shared" si="56"/>
        <v>N/D</v>
      </c>
      <c r="AH166" s="339" t="str">
        <f t="shared" si="56"/>
        <v>N/D</v>
      </c>
      <c r="AI166" s="339" t="str">
        <f t="shared" si="56"/>
        <v>N/D</v>
      </c>
      <c r="AJ166" s="339" t="str">
        <f t="shared" si="56"/>
        <v>N/D</v>
      </c>
      <c r="AK166" s="339" t="str">
        <f t="shared" si="56"/>
        <v>N/D</v>
      </c>
      <c r="AL166" s="340" t="str">
        <f t="shared" si="56"/>
        <v>N/D</v>
      </c>
      <c r="AM166" s="22"/>
    </row>
    <row r="167" spans="2:39" hidden="1" outlineLevel="2">
      <c r="B167" s="84"/>
      <c r="C167" s="84"/>
      <c r="D167" s="84"/>
      <c r="E167" s="24"/>
      <c r="F167" s="24"/>
      <c r="G167" s="24"/>
      <c r="H167" s="24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2"/>
    </row>
    <row r="168" spans="2:39" hidden="1" outlineLevel="1">
      <c r="B168" s="84"/>
      <c r="C168" s="84"/>
      <c r="D168" s="306" t="s">
        <v>442</v>
      </c>
      <c r="E168" s="24"/>
      <c r="F168" s="24"/>
      <c r="G168" s="24"/>
      <c r="H168" s="24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2"/>
    </row>
    <row r="169" spans="2:39" ht="15" hidden="1" outlineLevel="2">
      <c r="B169" s="175"/>
      <c r="C169" s="175"/>
      <c r="D169" s="176" t="s">
        <v>32</v>
      </c>
      <c r="E169" s="224">
        <f t="shared" ref="E169:AL169" si="57">E6+E13</f>
        <v>16360657.9</v>
      </c>
      <c r="F169" s="225">
        <f t="shared" si="57"/>
        <v>15865865.16</v>
      </c>
      <c r="G169" s="225">
        <f t="shared" si="57"/>
        <v>18420868.920000002</v>
      </c>
      <c r="H169" s="226">
        <f t="shared" si="57"/>
        <v>18510610.399999999</v>
      </c>
      <c r="I169" s="177">
        <f t="shared" si="57"/>
        <v>19073889.75</v>
      </c>
      <c r="J169" s="178">
        <f t="shared" si="57"/>
        <v>20250344</v>
      </c>
      <c r="K169" s="178">
        <f t="shared" si="57"/>
        <v>17600000</v>
      </c>
      <c r="L169" s="178">
        <f t="shared" si="57"/>
        <v>17943950</v>
      </c>
      <c r="M169" s="178">
        <f t="shared" si="57"/>
        <v>18237269</v>
      </c>
      <c r="N169" s="178">
        <f t="shared" si="57"/>
        <v>18545387</v>
      </c>
      <c r="O169" s="178">
        <f t="shared" si="57"/>
        <v>18768748</v>
      </c>
      <c r="P169" s="178">
        <f t="shared" si="57"/>
        <v>18807811</v>
      </c>
      <c r="Q169" s="178">
        <f t="shared" si="57"/>
        <v>19363045</v>
      </c>
      <c r="R169" s="178">
        <f t="shared" si="57"/>
        <v>19934936</v>
      </c>
      <c r="S169" s="178">
        <f t="shared" si="57"/>
        <v>20523984</v>
      </c>
      <c r="T169" s="178">
        <f t="shared" si="57"/>
        <v>21130704</v>
      </c>
      <c r="U169" s="178">
        <f t="shared" si="57"/>
        <v>21755625</v>
      </c>
      <c r="V169" s="178">
        <f t="shared" si="57"/>
        <v>0</v>
      </c>
      <c r="W169" s="178">
        <f t="shared" si="57"/>
        <v>0</v>
      </c>
      <c r="X169" s="178">
        <f t="shared" si="57"/>
        <v>0</v>
      </c>
      <c r="Y169" s="178">
        <f t="shared" si="57"/>
        <v>0</v>
      </c>
      <c r="Z169" s="178">
        <f t="shared" si="57"/>
        <v>0</v>
      </c>
      <c r="AA169" s="178">
        <f t="shared" si="57"/>
        <v>0</v>
      </c>
      <c r="AB169" s="178">
        <f t="shared" si="57"/>
        <v>0</v>
      </c>
      <c r="AC169" s="178">
        <f t="shared" si="57"/>
        <v>0</v>
      </c>
      <c r="AD169" s="178">
        <f t="shared" si="57"/>
        <v>0</v>
      </c>
      <c r="AE169" s="178">
        <f t="shared" si="57"/>
        <v>0</v>
      </c>
      <c r="AF169" s="178">
        <f t="shared" si="57"/>
        <v>0</v>
      </c>
      <c r="AG169" s="178">
        <f t="shared" si="57"/>
        <v>0</v>
      </c>
      <c r="AH169" s="178">
        <f t="shared" si="57"/>
        <v>0</v>
      </c>
      <c r="AI169" s="178">
        <f t="shared" si="57"/>
        <v>0</v>
      </c>
      <c r="AJ169" s="178">
        <f t="shared" si="57"/>
        <v>0</v>
      </c>
      <c r="AK169" s="178">
        <f t="shared" si="57"/>
        <v>0</v>
      </c>
      <c r="AL169" s="179">
        <f t="shared" si="57"/>
        <v>0</v>
      </c>
      <c r="AM169" s="175"/>
    </row>
    <row r="170" spans="2:39" ht="15" hidden="1" outlineLevel="2">
      <c r="B170" s="175"/>
      <c r="C170" s="175"/>
      <c r="D170" s="180" t="s">
        <v>33</v>
      </c>
      <c r="E170" s="227">
        <f t="shared" ref="E170:AL170" si="58">E17+E23</f>
        <v>18764728.809999999</v>
      </c>
      <c r="F170" s="228">
        <f t="shared" si="58"/>
        <v>22266908</v>
      </c>
      <c r="G170" s="228">
        <f t="shared" si="58"/>
        <v>20656887.920000002</v>
      </c>
      <c r="H170" s="229">
        <f t="shared" si="58"/>
        <v>18408779.099999998</v>
      </c>
      <c r="I170" s="181">
        <f t="shared" si="58"/>
        <v>20320889.75</v>
      </c>
      <c r="J170" s="182">
        <f t="shared" si="58"/>
        <v>19193344</v>
      </c>
      <c r="K170" s="182">
        <f t="shared" si="58"/>
        <v>17500000</v>
      </c>
      <c r="L170" s="182">
        <f t="shared" si="58"/>
        <v>17543950</v>
      </c>
      <c r="M170" s="182">
        <f t="shared" si="58"/>
        <v>17637269</v>
      </c>
      <c r="N170" s="182">
        <f t="shared" si="58"/>
        <v>17945387</v>
      </c>
      <c r="O170" s="182">
        <f t="shared" si="58"/>
        <v>17568748</v>
      </c>
      <c r="P170" s="182">
        <f t="shared" si="58"/>
        <v>17507811</v>
      </c>
      <c r="Q170" s="182">
        <f t="shared" si="58"/>
        <v>18163045</v>
      </c>
      <c r="R170" s="182">
        <f t="shared" si="58"/>
        <v>18604936</v>
      </c>
      <c r="S170" s="182">
        <f t="shared" si="58"/>
        <v>19013984</v>
      </c>
      <c r="T170" s="182">
        <f t="shared" si="58"/>
        <v>19582704</v>
      </c>
      <c r="U170" s="182">
        <f t="shared" si="58"/>
        <v>21012625</v>
      </c>
      <c r="V170" s="182">
        <f t="shared" si="58"/>
        <v>0</v>
      </c>
      <c r="W170" s="182">
        <f t="shared" si="58"/>
        <v>0</v>
      </c>
      <c r="X170" s="182">
        <f t="shared" si="58"/>
        <v>0</v>
      </c>
      <c r="Y170" s="182">
        <f t="shared" si="58"/>
        <v>0</v>
      </c>
      <c r="Z170" s="182">
        <f t="shared" si="58"/>
        <v>0</v>
      </c>
      <c r="AA170" s="182">
        <f t="shared" si="58"/>
        <v>0</v>
      </c>
      <c r="AB170" s="182">
        <f t="shared" si="58"/>
        <v>0</v>
      </c>
      <c r="AC170" s="182">
        <f t="shared" si="58"/>
        <v>0</v>
      </c>
      <c r="AD170" s="182">
        <f t="shared" si="58"/>
        <v>0</v>
      </c>
      <c r="AE170" s="182">
        <f t="shared" si="58"/>
        <v>0</v>
      </c>
      <c r="AF170" s="182">
        <f t="shared" si="58"/>
        <v>0</v>
      </c>
      <c r="AG170" s="182">
        <f t="shared" si="58"/>
        <v>0</v>
      </c>
      <c r="AH170" s="182">
        <f t="shared" si="58"/>
        <v>0</v>
      </c>
      <c r="AI170" s="182">
        <f t="shared" si="58"/>
        <v>0</v>
      </c>
      <c r="AJ170" s="182">
        <f t="shared" si="58"/>
        <v>0</v>
      </c>
      <c r="AK170" s="182">
        <f t="shared" si="58"/>
        <v>0</v>
      </c>
      <c r="AL170" s="183">
        <f t="shared" si="58"/>
        <v>0</v>
      </c>
      <c r="AM170" s="175"/>
    </row>
    <row r="171" spans="2:39" ht="15" hidden="1" outlineLevel="2">
      <c r="B171" s="175"/>
      <c r="C171" s="175"/>
      <c r="D171" s="180" t="s">
        <v>387</v>
      </c>
      <c r="E171" s="227">
        <f t="shared" ref="E171:AL171" si="59">E5-E16</f>
        <v>-2404070.9099999983</v>
      </c>
      <c r="F171" s="228">
        <f t="shared" si="59"/>
        <v>-6401042.8399999999</v>
      </c>
      <c r="G171" s="228">
        <f t="shared" si="59"/>
        <v>-2236019</v>
      </c>
      <c r="H171" s="229">
        <f t="shared" si="59"/>
        <v>101831.29999999702</v>
      </c>
      <c r="I171" s="181">
        <f t="shared" si="59"/>
        <v>-1247000</v>
      </c>
      <c r="J171" s="182">
        <f t="shared" si="59"/>
        <v>1057000</v>
      </c>
      <c r="K171" s="182">
        <f t="shared" si="59"/>
        <v>100000</v>
      </c>
      <c r="L171" s="182">
        <f t="shared" si="59"/>
        <v>400000</v>
      </c>
      <c r="M171" s="182">
        <f t="shared" si="59"/>
        <v>600000</v>
      </c>
      <c r="N171" s="182">
        <f t="shared" si="59"/>
        <v>600000</v>
      </c>
      <c r="O171" s="182">
        <f t="shared" si="59"/>
        <v>1200000</v>
      </c>
      <c r="P171" s="182">
        <f t="shared" si="59"/>
        <v>1300000</v>
      </c>
      <c r="Q171" s="182">
        <f t="shared" si="59"/>
        <v>1200000</v>
      </c>
      <c r="R171" s="182">
        <f t="shared" si="59"/>
        <v>1330000</v>
      </c>
      <c r="S171" s="182">
        <f t="shared" si="59"/>
        <v>1510000</v>
      </c>
      <c r="T171" s="182">
        <f t="shared" si="59"/>
        <v>1548000</v>
      </c>
      <c r="U171" s="182">
        <f t="shared" si="59"/>
        <v>743000</v>
      </c>
      <c r="V171" s="182">
        <f t="shared" si="59"/>
        <v>0</v>
      </c>
      <c r="W171" s="182">
        <f t="shared" si="59"/>
        <v>0</v>
      </c>
      <c r="X171" s="182">
        <f t="shared" si="59"/>
        <v>0</v>
      </c>
      <c r="Y171" s="182">
        <f t="shared" si="59"/>
        <v>0</v>
      </c>
      <c r="Z171" s="182">
        <f t="shared" si="59"/>
        <v>0</v>
      </c>
      <c r="AA171" s="182">
        <f t="shared" si="59"/>
        <v>0</v>
      </c>
      <c r="AB171" s="182">
        <f t="shared" si="59"/>
        <v>0</v>
      </c>
      <c r="AC171" s="182">
        <f t="shared" si="59"/>
        <v>0</v>
      </c>
      <c r="AD171" s="182">
        <f t="shared" si="59"/>
        <v>0</v>
      </c>
      <c r="AE171" s="182">
        <f t="shared" si="59"/>
        <v>0</v>
      </c>
      <c r="AF171" s="182">
        <f t="shared" si="59"/>
        <v>0</v>
      </c>
      <c r="AG171" s="182">
        <f t="shared" si="59"/>
        <v>0</v>
      </c>
      <c r="AH171" s="182">
        <f t="shared" si="59"/>
        <v>0</v>
      </c>
      <c r="AI171" s="182">
        <f t="shared" si="59"/>
        <v>0</v>
      </c>
      <c r="AJ171" s="182">
        <f t="shared" si="59"/>
        <v>0</v>
      </c>
      <c r="AK171" s="182">
        <f t="shared" si="59"/>
        <v>0</v>
      </c>
      <c r="AL171" s="183">
        <f t="shared" si="59"/>
        <v>0</v>
      </c>
      <c r="AM171" s="175"/>
    </row>
    <row r="172" spans="2:39" ht="15" hidden="1" outlineLevel="2">
      <c r="B172" s="175"/>
      <c r="C172" s="175"/>
      <c r="D172" s="184" t="s">
        <v>388</v>
      </c>
      <c r="E172" s="374" t="s">
        <v>31</v>
      </c>
      <c r="F172" s="228">
        <f>E39+F30-F35+(F94-E94)+F99</f>
        <v>12575068.789999999</v>
      </c>
      <c r="G172" s="414" t="s">
        <v>31</v>
      </c>
      <c r="H172" s="229">
        <f>F39+H30-H35+(H94-F94)+H99</f>
        <v>12447872.24</v>
      </c>
      <c r="I172" s="181">
        <f t="shared" ref="I172:AL172" si="60">H39+I30-I35+(I94-H94)+I99</f>
        <v>11607700</v>
      </c>
      <c r="J172" s="182">
        <f t="shared" si="60"/>
        <v>10540850</v>
      </c>
      <c r="K172" s="182">
        <f t="shared" si="60"/>
        <v>10431000</v>
      </c>
      <c r="L172" s="182">
        <f t="shared" si="60"/>
        <v>10031000</v>
      </c>
      <c r="M172" s="182">
        <f t="shared" si="60"/>
        <v>9431000</v>
      </c>
      <c r="N172" s="182">
        <f t="shared" si="60"/>
        <v>8831000</v>
      </c>
      <c r="O172" s="182">
        <f t="shared" si="60"/>
        <v>7631000</v>
      </c>
      <c r="P172" s="182">
        <f t="shared" si="60"/>
        <v>6331000</v>
      </c>
      <c r="Q172" s="182">
        <f t="shared" si="60"/>
        <v>5131000</v>
      </c>
      <c r="R172" s="182">
        <f t="shared" si="60"/>
        <v>3801000</v>
      </c>
      <c r="S172" s="182">
        <f t="shared" si="60"/>
        <v>2291000</v>
      </c>
      <c r="T172" s="182">
        <f t="shared" si="60"/>
        <v>743000</v>
      </c>
      <c r="U172" s="182">
        <f t="shared" si="60"/>
        <v>0</v>
      </c>
      <c r="V172" s="182">
        <f t="shared" si="60"/>
        <v>0</v>
      </c>
      <c r="W172" s="182">
        <f t="shared" si="60"/>
        <v>0</v>
      </c>
      <c r="X172" s="182">
        <f t="shared" si="60"/>
        <v>0</v>
      </c>
      <c r="Y172" s="182">
        <f t="shared" si="60"/>
        <v>0</v>
      </c>
      <c r="Z172" s="182">
        <f t="shared" si="60"/>
        <v>0</v>
      </c>
      <c r="AA172" s="182">
        <f t="shared" si="60"/>
        <v>0</v>
      </c>
      <c r="AB172" s="182">
        <f t="shared" si="60"/>
        <v>0</v>
      </c>
      <c r="AC172" s="182">
        <f t="shared" si="60"/>
        <v>0</v>
      </c>
      <c r="AD172" s="182">
        <f t="shared" si="60"/>
        <v>0</v>
      </c>
      <c r="AE172" s="182">
        <f t="shared" si="60"/>
        <v>0</v>
      </c>
      <c r="AF172" s="182">
        <f t="shared" si="60"/>
        <v>0</v>
      </c>
      <c r="AG172" s="182">
        <f t="shared" si="60"/>
        <v>0</v>
      </c>
      <c r="AH172" s="182">
        <f t="shared" si="60"/>
        <v>0</v>
      </c>
      <c r="AI172" s="182">
        <f t="shared" si="60"/>
        <v>0</v>
      </c>
      <c r="AJ172" s="182">
        <f t="shared" si="60"/>
        <v>0</v>
      </c>
      <c r="AK172" s="182">
        <f t="shared" si="60"/>
        <v>0</v>
      </c>
      <c r="AL172" s="183">
        <f t="shared" si="60"/>
        <v>0</v>
      </c>
      <c r="AM172" s="175"/>
    </row>
    <row r="173" spans="2:39" ht="24" hidden="1" outlineLevel="2">
      <c r="B173" s="175"/>
      <c r="C173" s="175"/>
      <c r="D173" s="185" t="s">
        <v>448</v>
      </c>
      <c r="E173" s="334" t="s">
        <v>31</v>
      </c>
      <c r="F173" s="230">
        <f>E85-(F87+F88+F89+F90)</f>
        <v>0</v>
      </c>
      <c r="G173" s="415" t="s">
        <v>31</v>
      </c>
      <c r="H173" s="231">
        <f>F85-(H87+H88+H89+H90)</f>
        <v>0</v>
      </c>
      <c r="I173" s="186">
        <f>H85-(I87+I88+I89+I90)</f>
        <v>0</v>
      </c>
      <c r="J173" s="187">
        <f t="shared" ref="J173:AL173" si="61">I85-(J87+J88+J89+J90)</f>
        <v>0</v>
      </c>
      <c r="K173" s="187">
        <f t="shared" si="61"/>
        <v>0</v>
      </c>
      <c r="L173" s="187">
        <f t="shared" si="61"/>
        <v>0</v>
      </c>
      <c r="M173" s="187">
        <f t="shared" si="61"/>
        <v>0</v>
      </c>
      <c r="N173" s="187">
        <f t="shared" si="61"/>
        <v>0</v>
      </c>
      <c r="O173" s="187">
        <f t="shared" si="61"/>
        <v>0</v>
      </c>
      <c r="P173" s="187">
        <f t="shared" si="61"/>
        <v>0</v>
      </c>
      <c r="Q173" s="187">
        <f t="shared" si="61"/>
        <v>0</v>
      </c>
      <c r="R173" s="187">
        <f t="shared" si="61"/>
        <v>0</v>
      </c>
      <c r="S173" s="187">
        <f t="shared" si="61"/>
        <v>0</v>
      </c>
      <c r="T173" s="187">
        <f t="shared" si="61"/>
        <v>0</v>
      </c>
      <c r="U173" s="187">
        <f t="shared" si="61"/>
        <v>0</v>
      </c>
      <c r="V173" s="187">
        <f t="shared" si="61"/>
        <v>0</v>
      </c>
      <c r="W173" s="187">
        <f t="shared" si="61"/>
        <v>0</v>
      </c>
      <c r="X173" s="187">
        <f t="shared" si="61"/>
        <v>0</v>
      </c>
      <c r="Y173" s="187">
        <f t="shared" si="61"/>
        <v>0</v>
      </c>
      <c r="Z173" s="187">
        <f t="shared" si="61"/>
        <v>0</v>
      </c>
      <c r="AA173" s="187">
        <f t="shared" si="61"/>
        <v>0</v>
      </c>
      <c r="AB173" s="187">
        <f t="shared" si="61"/>
        <v>0</v>
      </c>
      <c r="AC173" s="187">
        <f t="shared" si="61"/>
        <v>0</v>
      </c>
      <c r="AD173" s="187">
        <f t="shared" si="61"/>
        <v>0</v>
      </c>
      <c r="AE173" s="187">
        <f t="shared" si="61"/>
        <v>0</v>
      </c>
      <c r="AF173" s="187">
        <f t="shared" si="61"/>
        <v>0</v>
      </c>
      <c r="AG173" s="187">
        <f t="shared" si="61"/>
        <v>0</v>
      </c>
      <c r="AH173" s="187">
        <f t="shared" si="61"/>
        <v>0</v>
      </c>
      <c r="AI173" s="187">
        <f t="shared" si="61"/>
        <v>0</v>
      </c>
      <c r="AJ173" s="187">
        <f t="shared" si="61"/>
        <v>0</v>
      </c>
      <c r="AK173" s="187">
        <f t="shared" si="61"/>
        <v>0</v>
      </c>
      <c r="AL173" s="188">
        <f t="shared" si="61"/>
        <v>0</v>
      </c>
      <c r="AM173" s="175"/>
    </row>
    <row r="174" spans="2:39" hidden="1">
      <c r="E174" s="6"/>
      <c r="F174" s="6"/>
      <c r="G174" s="6"/>
      <c r="H174" s="6"/>
    </row>
    <row r="175" spans="2:39" ht="15.75" hidden="1">
      <c r="D175" s="303" t="s">
        <v>35</v>
      </c>
      <c r="E175" s="79"/>
      <c r="F175" s="79"/>
      <c r="G175" s="79"/>
      <c r="H175" s="79"/>
    </row>
    <row r="176" spans="2:39" hidden="1" outlineLevel="1">
      <c r="D176" s="304" t="s">
        <v>40</v>
      </c>
      <c r="E176" s="80"/>
      <c r="F176" s="80"/>
      <c r="G176" s="80"/>
      <c r="H176" s="80"/>
    </row>
    <row r="177" spans="2:39" hidden="1" outlineLevel="2">
      <c r="D177" s="30">
        <v>0</v>
      </c>
      <c r="E177" s="33" t="str">
        <f>+"różnica mniejsza od "&amp;TEXT(D177*100,"0,0")&amp;"%"</f>
        <v>różnica mniejsza od 0,0%</v>
      </c>
      <c r="F177" s="81"/>
      <c r="G177" s="81"/>
      <c r="H177" s="81"/>
      <c r="I177" s="2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2:39" hidden="1" outlineLevel="2">
      <c r="D178" s="31">
        <v>5.0000000000000001E-3</v>
      </c>
      <c r="E178" s="33" t="str">
        <f>+"różnica mniejsza od "&amp;TEXT(D178*100,"0,0")&amp;"%"</f>
        <v>różnica mniejsza od 0,5%</v>
      </c>
      <c r="F178" s="81"/>
      <c r="G178" s="81"/>
      <c r="H178" s="81"/>
      <c r="I178" s="2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2:39" hidden="1" outlineLevel="2">
      <c r="D179" s="32">
        <v>0.01</v>
      </c>
      <c r="E179" s="33" t="str">
        <f>+"różnica mniejsza od "&amp;TEXT(D179*100,"0,0")&amp;"%"</f>
        <v>różnica mniejsza od 1,0%</v>
      </c>
      <c r="F179" s="81"/>
      <c r="G179" s="81"/>
      <c r="H179" s="81"/>
      <c r="I179" s="2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2:39" hidden="1" outlineLevel="2">
      <c r="D180" s="287" t="s">
        <v>427</v>
      </c>
      <c r="E180" s="381" t="s">
        <v>31</v>
      </c>
      <c r="F180" s="382" t="s">
        <v>31</v>
      </c>
      <c r="G180" s="382" t="s">
        <v>31</v>
      </c>
      <c r="H180" s="383" t="s">
        <v>31</v>
      </c>
      <c r="I180" s="288">
        <f t="shared" ref="I180:AL180" si="62">+IF(I5=0,"",I56-I51)</f>
        <v>-0.1598</v>
      </c>
      <c r="J180" s="289">
        <f t="shared" si="62"/>
        <v>-5.2400000000000002E-2</v>
      </c>
      <c r="K180" s="289">
        <f t="shared" si="62"/>
        <v>-4.5999999999999999E-3</v>
      </c>
      <c r="L180" s="289">
        <f t="shared" si="62"/>
        <v>4.0999999999999995E-3</v>
      </c>
      <c r="M180" s="289">
        <f t="shared" si="62"/>
        <v>5.0000000000000044E-3</v>
      </c>
      <c r="N180" s="289">
        <f t="shared" si="62"/>
        <v>2.5500000000000002E-2</v>
      </c>
      <c r="O180" s="289">
        <f t="shared" si="62"/>
        <v>3.4000000000000002E-3</v>
      </c>
      <c r="P180" s="289">
        <f t="shared" si="62"/>
        <v>2.7999999999999969E-3</v>
      </c>
      <c r="Q180" s="289">
        <f t="shared" si="62"/>
        <v>1.0900000000000007E-2</v>
      </c>
      <c r="R180" s="289">
        <f t="shared" si="62"/>
        <v>1.9100000000000006E-2</v>
      </c>
      <c r="S180" s="289">
        <f t="shared" si="62"/>
        <v>2.8699999999999989E-2</v>
      </c>
      <c r="T180" s="289">
        <f t="shared" si="62"/>
        <v>4.9899999999999986E-2</v>
      </c>
      <c r="U180" s="289">
        <f t="shared" si="62"/>
        <v>9.5900000000000013E-2</v>
      </c>
      <c r="V180" s="289" t="str">
        <f t="shared" si="62"/>
        <v/>
      </c>
      <c r="W180" s="289" t="str">
        <f t="shared" si="62"/>
        <v/>
      </c>
      <c r="X180" s="289" t="str">
        <f t="shared" si="62"/>
        <v/>
      </c>
      <c r="Y180" s="289" t="str">
        <f t="shared" si="62"/>
        <v/>
      </c>
      <c r="Z180" s="289" t="str">
        <f t="shared" si="62"/>
        <v/>
      </c>
      <c r="AA180" s="289" t="str">
        <f t="shared" si="62"/>
        <v/>
      </c>
      <c r="AB180" s="289" t="str">
        <f t="shared" si="62"/>
        <v/>
      </c>
      <c r="AC180" s="289" t="str">
        <f t="shared" si="62"/>
        <v/>
      </c>
      <c r="AD180" s="289" t="str">
        <f t="shared" si="62"/>
        <v/>
      </c>
      <c r="AE180" s="289" t="str">
        <f t="shared" si="62"/>
        <v/>
      </c>
      <c r="AF180" s="289" t="str">
        <f t="shared" si="62"/>
        <v/>
      </c>
      <c r="AG180" s="289" t="str">
        <f t="shared" si="62"/>
        <v/>
      </c>
      <c r="AH180" s="289" t="str">
        <f t="shared" si="62"/>
        <v/>
      </c>
      <c r="AI180" s="289" t="str">
        <f t="shared" si="62"/>
        <v/>
      </c>
      <c r="AJ180" s="289" t="str">
        <f t="shared" si="62"/>
        <v/>
      </c>
      <c r="AK180" s="289" t="str">
        <f t="shared" si="62"/>
        <v/>
      </c>
      <c r="AL180" s="290" t="str">
        <f t="shared" si="62"/>
        <v/>
      </c>
    </row>
    <row r="181" spans="2:39" hidden="1" outlineLevel="2">
      <c r="D181" s="291" t="s">
        <v>428</v>
      </c>
      <c r="E181" s="384" t="s">
        <v>31</v>
      </c>
      <c r="F181" s="385" t="s">
        <v>31</v>
      </c>
      <c r="G181" s="385" t="s">
        <v>31</v>
      </c>
      <c r="H181" s="386" t="s">
        <v>31</v>
      </c>
      <c r="I181" s="292">
        <f t="shared" ref="I181:AL181" si="63">+IF(I5=0,"",I56-I52)</f>
        <v>-0.1356</v>
      </c>
      <c r="J181" s="293">
        <f t="shared" si="63"/>
        <v>-1.9999999999999879E-4</v>
      </c>
      <c r="K181" s="293">
        <f t="shared" si="63"/>
        <v>-4.5999999999999999E-3</v>
      </c>
      <c r="L181" s="293">
        <f t="shared" si="63"/>
        <v>4.0999999999999995E-3</v>
      </c>
      <c r="M181" s="293">
        <f t="shared" si="63"/>
        <v>5.0000000000000044E-3</v>
      </c>
      <c r="N181" s="293">
        <f t="shared" si="63"/>
        <v>2.5500000000000002E-2</v>
      </c>
      <c r="O181" s="293">
        <f t="shared" si="63"/>
        <v>3.4000000000000002E-3</v>
      </c>
      <c r="P181" s="293">
        <f t="shared" si="63"/>
        <v>2.7999999999999969E-3</v>
      </c>
      <c r="Q181" s="293">
        <f t="shared" si="63"/>
        <v>1.0900000000000007E-2</v>
      </c>
      <c r="R181" s="293">
        <f t="shared" si="63"/>
        <v>1.9100000000000006E-2</v>
      </c>
      <c r="S181" s="293">
        <f t="shared" si="63"/>
        <v>2.8699999999999989E-2</v>
      </c>
      <c r="T181" s="293">
        <f t="shared" si="63"/>
        <v>4.9899999999999986E-2</v>
      </c>
      <c r="U181" s="293">
        <f t="shared" si="63"/>
        <v>9.5900000000000013E-2</v>
      </c>
      <c r="V181" s="293" t="str">
        <f t="shared" si="63"/>
        <v/>
      </c>
      <c r="W181" s="293" t="str">
        <f t="shared" si="63"/>
        <v/>
      </c>
      <c r="X181" s="293" t="str">
        <f t="shared" si="63"/>
        <v/>
      </c>
      <c r="Y181" s="293" t="str">
        <f t="shared" si="63"/>
        <v/>
      </c>
      <c r="Z181" s="293" t="str">
        <f t="shared" si="63"/>
        <v/>
      </c>
      <c r="AA181" s="293" t="str">
        <f t="shared" si="63"/>
        <v/>
      </c>
      <c r="AB181" s="293" t="str">
        <f t="shared" si="63"/>
        <v/>
      </c>
      <c r="AC181" s="293" t="str">
        <f t="shared" si="63"/>
        <v/>
      </c>
      <c r="AD181" s="293" t="str">
        <f t="shared" si="63"/>
        <v/>
      </c>
      <c r="AE181" s="293" t="str">
        <f t="shared" si="63"/>
        <v/>
      </c>
      <c r="AF181" s="293" t="str">
        <f t="shared" si="63"/>
        <v/>
      </c>
      <c r="AG181" s="293" t="str">
        <f t="shared" si="63"/>
        <v/>
      </c>
      <c r="AH181" s="293" t="str">
        <f t="shared" si="63"/>
        <v/>
      </c>
      <c r="AI181" s="293" t="str">
        <f t="shared" si="63"/>
        <v/>
      </c>
      <c r="AJ181" s="293" t="str">
        <f t="shared" si="63"/>
        <v/>
      </c>
      <c r="AK181" s="293" t="str">
        <f t="shared" si="63"/>
        <v/>
      </c>
      <c r="AL181" s="294" t="str">
        <f t="shared" si="63"/>
        <v/>
      </c>
    </row>
    <row r="182" spans="2:39" hidden="1" outlineLevel="2">
      <c r="D182" s="287" t="s">
        <v>429</v>
      </c>
      <c r="E182" s="381" t="s">
        <v>31</v>
      </c>
      <c r="F182" s="382" t="s">
        <v>31</v>
      </c>
      <c r="G182" s="382" t="s">
        <v>31</v>
      </c>
      <c r="H182" s="383" t="s">
        <v>31</v>
      </c>
      <c r="I182" s="288">
        <f t="shared" ref="I182:AL182" si="64">+IF(I5=0,"",I57-I51)</f>
        <v>-0.15010000000000001</v>
      </c>
      <c r="J182" s="289">
        <f t="shared" si="64"/>
        <v>-4.2699999999999995E-2</v>
      </c>
      <c r="K182" s="289">
        <f t="shared" si="64"/>
        <v>5.1000000000000004E-3</v>
      </c>
      <c r="L182" s="289">
        <f t="shared" si="64"/>
        <v>4.0999999999999995E-3</v>
      </c>
      <c r="M182" s="289">
        <f t="shared" si="64"/>
        <v>5.0000000000000044E-3</v>
      </c>
      <c r="N182" s="289">
        <f t="shared" si="64"/>
        <v>2.5500000000000002E-2</v>
      </c>
      <c r="O182" s="289">
        <f t="shared" si="64"/>
        <v>3.4000000000000002E-3</v>
      </c>
      <c r="P182" s="289">
        <f t="shared" si="64"/>
        <v>2.7999999999999969E-3</v>
      </c>
      <c r="Q182" s="289">
        <f t="shared" si="64"/>
        <v>1.0900000000000007E-2</v>
      </c>
      <c r="R182" s="289">
        <f t="shared" si="64"/>
        <v>1.9100000000000006E-2</v>
      </c>
      <c r="S182" s="289">
        <f t="shared" si="64"/>
        <v>2.8699999999999989E-2</v>
      </c>
      <c r="T182" s="289">
        <f t="shared" si="64"/>
        <v>4.9899999999999986E-2</v>
      </c>
      <c r="U182" s="289">
        <f t="shared" si="64"/>
        <v>9.5900000000000013E-2</v>
      </c>
      <c r="V182" s="289" t="str">
        <f t="shared" si="64"/>
        <v/>
      </c>
      <c r="W182" s="289" t="str">
        <f t="shared" si="64"/>
        <v/>
      </c>
      <c r="X182" s="289" t="str">
        <f t="shared" si="64"/>
        <v/>
      </c>
      <c r="Y182" s="289" t="str">
        <f t="shared" si="64"/>
        <v/>
      </c>
      <c r="Z182" s="289" t="str">
        <f t="shared" si="64"/>
        <v/>
      </c>
      <c r="AA182" s="289" t="str">
        <f t="shared" si="64"/>
        <v/>
      </c>
      <c r="AB182" s="289" t="str">
        <f t="shared" si="64"/>
        <v/>
      </c>
      <c r="AC182" s="289" t="str">
        <f t="shared" si="64"/>
        <v/>
      </c>
      <c r="AD182" s="289" t="str">
        <f t="shared" si="64"/>
        <v/>
      </c>
      <c r="AE182" s="289" t="str">
        <f t="shared" si="64"/>
        <v/>
      </c>
      <c r="AF182" s="289" t="str">
        <f t="shared" si="64"/>
        <v/>
      </c>
      <c r="AG182" s="289" t="str">
        <f t="shared" si="64"/>
        <v/>
      </c>
      <c r="AH182" s="289" t="str">
        <f t="shared" si="64"/>
        <v/>
      </c>
      <c r="AI182" s="289" t="str">
        <f t="shared" si="64"/>
        <v/>
      </c>
      <c r="AJ182" s="289" t="str">
        <f t="shared" si="64"/>
        <v/>
      </c>
      <c r="AK182" s="289" t="str">
        <f t="shared" si="64"/>
        <v/>
      </c>
      <c r="AL182" s="290" t="str">
        <f t="shared" si="64"/>
        <v/>
      </c>
    </row>
    <row r="183" spans="2:39" hidden="1" outlineLevel="2">
      <c r="D183" s="291" t="s">
        <v>430</v>
      </c>
      <c r="E183" s="384" t="s">
        <v>31</v>
      </c>
      <c r="F183" s="385" t="s">
        <v>31</v>
      </c>
      <c r="G183" s="385" t="s">
        <v>31</v>
      </c>
      <c r="H183" s="386" t="s">
        <v>31</v>
      </c>
      <c r="I183" s="292">
        <f t="shared" ref="I183:AL183" si="65">+IF(I5=0,"",I57-I52)</f>
        <v>-0.12590000000000001</v>
      </c>
      <c r="J183" s="293">
        <f t="shared" si="65"/>
        <v>9.500000000000005E-3</v>
      </c>
      <c r="K183" s="293">
        <f t="shared" si="65"/>
        <v>5.1000000000000004E-3</v>
      </c>
      <c r="L183" s="293">
        <f t="shared" si="65"/>
        <v>4.0999999999999995E-3</v>
      </c>
      <c r="M183" s="293">
        <f t="shared" si="65"/>
        <v>5.0000000000000044E-3</v>
      </c>
      <c r="N183" s="293">
        <f t="shared" si="65"/>
        <v>2.5500000000000002E-2</v>
      </c>
      <c r="O183" s="293">
        <f t="shared" si="65"/>
        <v>3.4000000000000002E-3</v>
      </c>
      <c r="P183" s="293">
        <f t="shared" si="65"/>
        <v>2.7999999999999969E-3</v>
      </c>
      <c r="Q183" s="293">
        <f t="shared" si="65"/>
        <v>1.0900000000000007E-2</v>
      </c>
      <c r="R183" s="293">
        <f t="shared" si="65"/>
        <v>1.9100000000000006E-2</v>
      </c>
      <c r="S183" s="293">
        <f t="shared" si="65"/>
        <v>2.8699999999999989E-2</v>
      </c>
      <c r="T183" s="293">
        <f t="shared" si="65"/>
        <v>4.9899999999999986E-2</v>
      </c>
      <c r="U183" s="293">
        <f t="shared" si="65"/>
        <v>9.5900000000000013E-2</v>
      </c>
      <c r="V183" s="293" t="str">
        <f t="shared" si="65"/>
        <v/>
      </c>
      <c r="W183" s="293" t="str">
        <f t="shared" si="65"/>
        <v/>
      </c>
      <c r="X183" s="293" t="str">
        <f t="shared" si="65"/>
        <v/>
      </c>
      <c r="Y183" s="293" t="str">
        <f t="shared" si="65"/>
        <v/>
      </c>
      <c r="Z183" s="293" t="str">
        <f t="shared" si="65"/>
        <v/>
      </c>
      <c r="AA183" s="293" t="str">
        <f t="shared" si="65"/>
        <v/>
      </c>
      <c r="AB183" s="293" t="str">
        <f t="shared" si="65"/>
        <v/>
      </c>
      <c r="AC183" s="293" t="str">
        <f t="shared" si="65"/>
        <v/>
      </c>
      <c r="AD183" s="293" t="str">
        <f t="shared" si="65"/>
        <v/>
      </c>
      <c r="AE183" s="293" t="str">
        <f t="shared" si="65"/>
        <v/>
      </c>
      <c r="AF183" s="293" t="str">
        <f t="shared" si="65"/>
        <v/>
      </c>
      <c r="AG183" s="293" t="str">
        <f t="shared" si="65"/>
        <v/>
      </c>
      <c r="AH183" s="293" t="str">
        <f t="shared" si="65"/>
        <v/>
      </c>
      <c r="AI183" s="293" t="str">
        <f t="shared" si="65"/>
        <v/>
      </c>
      <c r="AJ183" s="293" t="str">
        <f t="shared" si="65"/>
        <v/>
      </c>
      <c r="AK183" s="293" t="str">
        <f t="shared" si="65"/>
        <v/>
      </c>
      <c r="AL183" s="294" t="str">
        <f t="shared" si="65"/>
        <v/>
      </c>
    </row>
    <row r="184" spans="2:39" hidden="1" outlineLevel="1">
      <c r="D184" s="304" t="s">
        <v>438</v>
      </c>
      <c r="E184" s="80"/>
      <c r="F184" s="80"/>
      <c r="G184" s="80"/>
      <c r="H184" s="8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2:39" hidden="1" outlineLevel="2">
      <c r="D185" s="27">
        <v>0.05</v>
      </c>
      <c r="E185" s="33" t="str">
        <f>+"zmiana większa niż +/- "&amp;TEXT(D185*100,"0,0")&amp;"%"</f>
        <v>zmiana większa niż +/- 5,0%</v>
      </c>
      <c r="F185" s="82"/>
      <c r="G185" s="82"/>
      <c r="H185" s="8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2:39" hidden="1" outlineLevel="2">
      <c r="D186" s="28">
        <v>0.1</v>
      </c>
      <c r="E186" s="33" t="str">
        <f>+"zmiana większa niż +/- "&amp;TEXT(D186*100,"0,0")&amp;"%"</f>
        <v>zmiana większa niż +/- 10,0%</v>
      </c>
      <c r="F186" s="82"/>
      <c r="G186" s="82"/>
      <c r="H186" s="8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2:39" ht="24" hidden="1" outlineLevel="2">
      <c r="D187" s="29">
        <v>0.2</v>
      </c>
      <c r="E187" s="33" t="str">
        <f>+"zmiana większa niż +/- "&amp;TEXT(D187*100,"0,0")&amp;"%"</f>
        <v>zmiana większa niż +/- 20,0%</v>
      </c>
      <c r="F187" s="82"/>
      <c r="G187" s="417" t="s">
        <v>475</v>
      </c>
      <c r="H187" s="417" t="s">
        <v>474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2:39" hidden="1" outlineLevel="2">
      <c r="B188" s="272"/>
      <c r="C188" s="272"/>
      <c r="D188" s="190" t="s">
        <v>26</v>
      </c>
      <c r="E188" s="387" t="s">
        <v>426</v>
      </c>
      <c r="F188" s="191">
        <f t="shared" ref="F188:AL188" si="66">+IF(F5=0,0,IF(E214&lt;&gt;0,F214/E214-1,0))</f>
        <v>-3.0242838828626772E-2</v>
      </c>
      <c r="G188" s="191">
        <f t="shared" si="66"/>
        <v>0.16103778358343246</v>
      </c>
      <c r="H188" s="192">
        <f t="shared" si="66"/>
        <v>4.8717289281920984E-3</v>
      </c>
      <c r="I188" s="273">
        <f t="shared" si="66"/>
        <v>3.0430079712552294E-2</v>
      </c>
      <c r="J188" s="274">
        <f t="shared" si="66"/>
        <v>6.1678780019162049E-2</v>
      </c>
      <c r="K188" s="274">
        <f t="shared" si="66"/>
        <v>-0.13087896185862324</v>
      </c>
      <c r="L188" s="274">
        <f t="shared" si="66"/>
        <v>1.954261363636367E-2</v>
      </c>
      <c r="M188" s="274">
        <f t="shared" si="66"/>
        <v>1.6346400876061207E-2</v>
      </c>
      <c r="N188" s="274">
        <f t="shared" si="66"/>
        <v>1.6894963823804954E-2</v>
      </c>
      <c r="O188" s="274">
        <f t="shared" si="66"/>
        <v>1.2044019356403757E-2</v>
      </c>
      <c r="P188" s="274">
        <f t="shared" si="66"/>
        <v>2.0812789430599832E-3</v>
      </c>
      <c r="Q188" s="274">
        <f t="shared" si="66"/>
        <v>2.9521457866627854E-2</v>
      </c>
      <c r="R188" s="274">
        <f t="shared" si="66"/>
        <v>2.9535178996898503E-2</v>
      </c>
      <c r="S188" s="274">
        <f t="shared" si="66"/>
        <v>2.9548527268911329E-2</v>
      </c>
      <c r="T188" s="274">
        <f t="shared" si="66"/>
        <v>2.9561512033920989E-2</v>
      </c>
      <c r="U188" s="274">
        <f t="shared" si="66"/>
        <v>2.9574073821676761E-2</v>
      </c>
      <c r="V188" s="274">
        <f t="shared" si="66"/>
        <v>0</v>
      </c>
      <c r="W188" s="274">
        <f t="shared" si="66"/>
        <v>0</v>
      </c>
      <c r="X188" s="274">
        <f t="shared" si="66"/>
        <v>0</v>
      </c>
      <c r="Y188" s="274">
        <f t="shared" si="66"/>
        <v>0</v>
      </c>
      <c r="Z188" s="274">
        <f t="shared" si="66"/>
        <v>0</v>
      </c>
      <c r="AA188" s="274">
        <f t="shared" si="66"/>
        <v>0</v>
      </c>
      <c r="AB188" s="274">
        <f t="shared" si="66"/>
        <v>0</v>
      </c>
      <c r="AC188" s="274">
        <f t="shared" si="66"/>
        <v>0</v>
      </c>
      <c r="AD188" s="274">
        <f t="shared" si="66"/>
        <v>0</v>
      </c>
      <c r="AE188" s="274">
        <f t="shared" si="66"/>
        <v>0</v>
      </c>
      <c r="AF188" s="274">
        <f t="shared" si="66"/>
        <v>0</v>
      </c>
      <c r="AG188" s="274">
        <f t="shared" si="66"/>
        <v>0</v>
      </c>
      <c r="AH188" s="274">
        <f t="shared" si="66"/>
        <v>0</v>
      </c>
      <c r="AI188" s="274">
        <f t="shared" si="66"/>
        <v>0</v>
      </c>
      <c r="AJ188" s="274">
        <f t="shared" si="66"/>
        <v>0</v>
      </c>
      <c r="AK188" s="274">
        <f t="shared" si="66"/>
        <v>0</v>
      </c>
      <c r="AL188" s="275">
        <f t="shared" si="66"/>
        <v>0</v>
      </c>
      <c r="AM188" s="276"/>
    </row>
    <row r="189" spans="2:39" ht="15" hidden="1" outlineLevel="2">
      <c r="B189" s="189"/>
      <c r="C189" s="189"/>
      <c r="D189" s="193" t="s">
        <v>391</v>
      </c>
      <c r="E189" s="388" t="s">
        <v>426</v>
      </c>
      <c r="F189" s="232">
        <f t="shared" ref="F189:AL189" si="67">+IF(F5=0,0,IF(E215&lt;&gt;0,F215/E215-1,0))</f>
        <v>-3.0242838828626772E-2</v>
      </c>
      <c r="G189" s="232">
        <f t="shared" si="67"/>
        <v>0.16103778358343246</v>
      </c>
      <c r="H189" s="233">
        <f t="shared" si="67"/>
        <v>4.8717289281920984E-3</v>
      </c>
      <c r="I189" s="194">
        <f t="shared" si="67"/>
        <v>-3.593418237574697E-2</v>
      </c>
      <c r="J189" s="195">
        <f t="shared" si="67"/>
        <v>-4.1772378155789269E-2</v>
      </c>
      <c r="K189" s="195">
        <f t="shared" si="67"/>
        <v>2.9239766081871288E-2</v>
      </c>
      <c r="L189" s="195">
        <f t="shared" si="67"/>
        <v>1.954261363636367E-2</v>
      </c>
      <c r="M189" s="195">
        <f t="shared" si="67"/>
        <v>1.6346400876061207E-2</v>
      </c>
      <c r="N189" s="195">
        <f t="shared" si="67"/>
        <v>1.6894963823804954E-2</v>
      </c>
      <c r="O189" s="195">
        <f t="shared" si="67"/>
        <v>1.2044019356403757E-2</v>
      </c>
      <c r="P189" s="195">
        <f t="shared" si="67"/>
        <v>2.0812789430599832E-3</v>
      </c>
      <c r="Q189" s="195">
        <f t="shared" si="67"/>
        <v>2.9521457866627854E-2</v>
      </c>
      <c r="R189" s="195">
        <f t="shared" si="67"/>
        <v>2.9535178996898503E-2</v>
      </c>
      <c r="S189" s="195">
        <f t="shared" si="67"/>
        <v>2.9548527268911329E-2</v>
      </c>
      <c r="T189" s="195">
        <f t="shared" si="67"/>
        <v>2.9561512033920989E-2</v>
      </c>
      <c r="U189" s="195">
        <f t="shared" si="67"/>
        <v>2.9574073821676761E-2</v>
      </c>
      <c r="V189" s="195">
        <f t="shared" si="67"/>
        <v>0</v>
      </c>
      <c r="W189" s="195">
        <f t="shared" si="67"/>
        <v>0</v>
      </c>
      <c r="X189" s="195">
        <f t="shared" si="67"/>
        <v>0</v>
      </c>
      <c r="Y189" s="195">
        <f t="shared" si="67"/>
        <v>0</v>
      </c>
      <c r="Z189" s="195">
        <f t="shared" si="67"/>
        <v>0</v>
      </c>
      <c r="AA189" s="195">
        <f t="shared" si="67"/>
        <v>0</v>
      </c>
      <c r="AB189" s="195">
        <f t="shared" si="67"/>
        <v>0</v>
      </c>
      <c r="AC189" s="195">
        <f t="shared" si="67"/>
        <v>0</v>
      </c>
      <c r="AD189" s="195">
        <f t="shared" si="67"/>
        <v>0</v>
      </c>
      <c r="AE189" s="195">
        <f t="shared" si="67"/>
        <v>0</v>
      </c>
      <c r="AF189" s="195">
        <f t="shared" si="67"/>
        <v>0</v>
      </c>
      <c r="AG189" s="195">
        <f t="shared" si="67"/>
        <v>0</v>
      </c>
      <c r="AH189" s="195">
        <f t="shared" si="67"/>
        <v>0</v>
      </c>
      <c r="AI189" s="195">
        <f t="shared" si="67"/>
        <v>0</v>
      </c>
      <c r="AJ189" s="195">
        <f t="shared" si="67"/>
        <v>0</v>
      </c>
      <c r="AK189" s="195">
        <f t="shared" si="67"/>
        <v>0</v>
      </c>
      <c r="AL189" s="196">
        <f t="shared" si="67"/>
        <v>0</v>
      </c>
      <c r="AM189" s="175"/>
    </row>
    <row r="190" spans="2:39" ht="15" hidden="1" outlineLevel="2">
      <c r="B190" s="189"/>
      <c r="C190" s="189"/>
      <c r="D190" s="197" t="s">
        <v>392</v>
      </c>
      <c r="E190" s="389" t="s">
        <v>426</v>
      </c>
      <c r="F190" s="234">
        <f t="shared" ref="F190:AL190" si="68">+IF(F5=0,0,IF(E216&lt;&gt;0,F216/E216-1,0))</f>
        <v>6.0397117962598612E-2</v>
      </c>
      <c r="G190" s="234">
        <f t="shared" si="68"/>
        <v>0.11316498141266429</v>
      </c>
      <c r="H190" s="235">
        <f t="shared" si="68"/>
        <v>1.5684566314469794E-2</v>
      </c>
      <c r="I190" s="194">
        <f t="shared" si="68"/>
        <v>1.4487766025922166E-2</v>
      </c>
      <c r="J190" s="195">
        <f t="shared" si="68"/>
        <v>3.6323924632725824E-2</v>
      </c>
      <c r="K190" s="195">
        <f t="shared" si="68"/>
        <v>2.9761904761904656E-2</v>
      </c>
      <c r="L190" s="195">
        <f t="shared" si="68"/>
        <v>1.9881502890173319E-2</v>
      </c>
      <c r="M190" s="195">
        <f t="shared" si="68"/>
        <v>1.6624338654326332E-2</v>
      </c>
      <c r="N190" s="195">
        <f t="shared" si="68"/>
        <v>1.7177531317615902E-2</v>
      </c>
      <c r="O190" s="195">
        <f t="shared" si="68"/>
        <v>1.2242053292703448E-2</v>
      </c>
      <c r="P190" s="195">
        <f t="shared" si="68"/>
        <v>2.1150865234611516E-3</v>
      </c>
      <c r="Q190" s="195">
        <f t="shared" si="68"/>
        <v>2.9999982169690353E-2</v>
      </c>
      <c r="R190" s="195">
        <f t="shared" si="68"/>
        <v>2.9999981639869278E-2</v>
      </c>
      <c r="S190" s="195">
        <f t="shared" si="68"/>
        <v>2.999999592562963E-2</v>
      </c>
      <c r="T190" s="195">
        <f t="shared" si="68"/>
        <v>3.0000023734195969E-2</v>
      </c>
      <c r="U190" s="195">
        <f t="shared" si="68"/>
        <v>2.999999423927302E-2</v>
      </c>
      <c r="V190" s="195">
        <f t="shared" si="68"/>
        <v>0</v>
      </c>
      <c r="W190" s="195">
        <f t="shared" si="68"/>
        <v>0</v>
      </c>
      <c r="X190" s="195">
        <f t="shared" si="68"/>
        <v>0</v>
      </c>
      <c r="Y190" s="195">
        <f t="shared" si="68"/>
        <v>0</v>
      </c>
      <c r="Z190" s="195">
        <f t="shared" si="68"/>
        <v>0</v>
      </c>
      <c r="AA190" s="195">
        <f t="shared" si="68"/>
        <v>0</v>
      </c>
      <c r="AB190" s="195">
        <f t="shared" si="68"/>
        <v>0</v>
      </c>
      <c r="AC190" s="195">
        <f t="shared" si="68"/>
        <v>0</v>
      </c>
      <c r="AD190" s="195">
        <f t="shared" si="68"/>
        <v>0</v>
      </c>
      <c r="AE190" s="195">
        <f t="shared" si="68"/>
        <v>0</v>
      </c>
      <c r="AF190" s="195">
        <f t="shared" si="68"/>
        <v>0</v>
      </c>
      <c r="AG190" s="195">
        <f t="shared" si="68"/>
        <v>0</v>
      </c>
      <c r="AH190" s="195">
        <f t="shared" si="68"/>
        <v>0</v>
      </c>
      <c r="AI190" s="195">
        <f t="shared" si="68"/>
        <v>0</v>
      </c>
      <c r="AJ190" s="195">
        <f t="shared" si="68"/>
        <v>0</v>
      </c>
      <c r="AK190" s="195">
        <f t="shared" si="68"/>
        <v>0</v>
      </c>
      <c r="AL190" s="196">
        <f t="shared" si="68"/>
        <v>0</v>
      </c>
      <c r="AM190" s="175"/>
    </row>
    <row r="191" spans="2:39" ht="15" hidden="1" outlineLevel="2">
      <c r="B191" s="189"/>
      <c r="C191" s="189"/>
      <c r="D191" s="197" t="s">
        <v>393</v>
      </c>
      <c r="E191" s="389" t="s">
        <v>426</v>
      </c>
      <c r="F191" s="234">
        <f t="shared" ref="F191:AL191" si="69">+IF(F5=0,0,IF(E217&lt;&gt;0,F217/E217-1,0))</f>
        <v>-0.42866395743819496</v>
      </c>
      <c r="G191" s="234">
        <f t="shared" si="69"/>
        <v>0.551598380792647</v>
      </c>
      <c r="H191" s="235">
        <f t="shared" si="69"/>
        <v>-5.8415993488080686E-2</v>
      </c>
      <c r="I191" s="194">
        <f t="shared" si="69"/>
        <v>-0.35428003680609432</v>
      </c>
      <c r="J191" s="195">
        <f t="shared" si="69"/>
        <v>-0.81643508678107757</v>
      </c>
      <c r="K191" s="195">
        <f t="shared" si="69"/>
        <v>0</v>
      </c>
      <c r="L191" s="195">
        <f t="shared" si="69"/>
        <v>0</v>
      </c>
      <c r="M191" s="195">
        <f t="shared" si="69"/>
        <v>0</v>
      </c>
      <c r="N191" s="195">
        <f t="shared" si="69"/>
        <v>0</v>
      </c>
      <c r="O191" s="195">
        <f t="shared" si="69"/>
        <v>0</v>
      </c>
      <c r="P191" s="195">
        <f t="shared" si="69"/>
        <v>0</v>
      </c>
      <c r="Q191" s="195">
        <f t="shared" si="69"/>
        <v>0</v>
      </c>
      <c r="R191" s="195">
        <f t="shared" si="69"/>
        <v>0</v>
      </c>
      <c r="S191" s="195">
        <f t="shared" si="69"/>
        <v>0</v>
      </c>
      <c r="T191" s="195">
        <f t="shared" si="69"/>
        <v>0</v>
      </c>
      <c r="U191" s="195">
        <f t="shared" si="69"/>
        <v>0</v>
      </c>
      <c r="V191" s="195">
        <f t="shared" si="69"/>
        <v>0</v>
      </c>
      <c r="W191" s="195">
        <f t="shared" si="69"/>
        <v>0</v>
      </c>
      <c r="X191" s="195">
        <f t="shared" si="69"/>
        <v>0</v>
      </c>
      <c r="Y191" s="195">
        <f t="shared" si="69"/>
        <v>0</v>
      </c>
      <c r="Z191" s="195">
        <f t="shared" si="69"/>
        <v>0</v>
      </c>
      <c r="AA191" s="195">
        <f t="shared" si="69"/>
        <v>0</v>
      </c>
      <c r="AB191" s="195">
        <f t="shared" si="69"/>
        <v>0</v>
      </c>
      <c r="AC191" s="195">
        <f t="shared" si="69"/>
        <v>0</v>
      </c>
      <c r="AD191" s="195">
        <f t="shared" si="69"/>
        <v>0</v>
      </c>
      <c r="AE191" s="195">
        <f t="shared" si="69"/>
        <v>0</v>
      </c>
      <c r="AF191" s="195">
        <f t="shared" si="69"/>
        <v>0</v>
      </c>
      <c r="AG191" s="195">
        <f t="shared" si="69"/>
        <v>0</v>
      </c>
      <c r="AH191" s="195">
        <f t="shared" si="69"/>
        <v>0</v>
      </c>
      <c r="AI191" s="195">
        <f t="shared" si="69"/>
        <v>0</v>
      </c>
      <c r="AJ191" s="195">
        <f t="shared" si="69"/>
        <v>0</v>
      </c>
      <c r="AK191" s="195">
        <f t="shared" si="69"/>
        <v>0</v>
      </c>
      <c r="AL191" s="196">
        <f t="shared" si="69"/>
        <v>0</v>
      </c>
      <c r="AM191" s="175"/>
    </row>
    <row r="192" spans="2:39" ht="24" hidden="1" outlineLevel="2">
      <c r="B192" s="189"/>
      <c r="C192" s="189"/>
      <c r="D192" s="197" t="s">
        <v>394</v>
      </c>
      <c r="E192" s="389" t="s">
        <v>426</v>
      </c>
      <c r="F192" s="234">
        <f t="shared" ref="F192:AL192" si="70">+IF(F5=0,0,IF(E218&lt;&gt;0,F218/E218-1,0))</f>
        <v>-0.45315699680184651</v>
      </c>
      <c r="G192" s="234">
        <f t="shared" si="70"/>
        <v>0.51059190089298112</v>
      </c>
      <c r="H192" s="235">
        <f t="shared" si="70"/>
        <v>-3.8199278910903245E-2</v>
      </c>
      <c r="I192" s="194">
        <f t="shared" si="70"/>
        <v>-0.99387677029607469</v>
      </c>
      <c r="J192" s="195">
        <f t="shared" si="70"/>
        <v>-1</v>
      </c>
      <c r="K192" s="195">
        <f t="shared" si="70"/>
        <v>0</v>
      </c>
      <c r="L192" s="195">
        <f t="shared" si="70"/>
        <v>0</v>
      </c>
      <c r="M192" s="195">
        <f t="shared" si="70"/>
        <v>0</v>
      </c>
      <c r="N192" s="195">
        <f t="shared" si="70"/>
        <v>0</v>
      </c>
      <c r="O192" s="195">
        <f t="shared" si="70"/>
        <v>0</v>
      </c>
      <c r="P192" s="195">
        <f t="shared" si="70"/>
        <v>0</v>
      </c>
      <c r="Q192" s="195">
        <f t="shared" si="70"/>
        <v>0</v>
      </c>
      <c r="R192" s="195">
        <f t="shared" si="70"/>
        <v>0</v>
      </c>
      <c r="S192" s="195">
        <f t="shared" si="70"/>
        <v>0</v>
      </c>
      <c r="T192" s="195">
        <f t="shared" si="70"/>
        <v>0</v>
      </c>
      <c r="U192" s="195">
        <f t="shared" si="70"/>
        <v>0</v>
      </c>
      <c r="V192" s="195">
        <f t="shared" si="70"/>
        <v>0</v>
      </c>
      <c r="W192" s="195">
        <f t="shared" si="70"/>
        <v>0</v>
      </c>
      <c r="X192" s="195">
        <f t="shared" si="70"/>
        <v>0</v>
      </c>
      <c r="Y192" s="195">
        <f t="shared" si="70"/>
        <v>0</v>
      </c>
      <c r="Z192" s="195">
        <f t="shared" si="70"/>
        <v>0</v>
      </c>
      <c r="AA192" s="195">
        <f t="shared" si="70"/>
        <v>0</v>
      </c>
      <c r="AB192" s="195">
        <f t="shared" si="70"/>
        <v>0</v>
      </c>
      <c r="AC192" s="195">
        <f t="shared" si="70"/>
        <v>0</v>
      </c>
      <c r="AD192" s="195">
        <f t="shared" si="70"/>
        <v>0</v>
      </c>
      <c r="AE192" s="195">
        <f t="shared" si="70"/>
        <v>0</v>
      </c>
      <c r="AF192" s="195">
        <f t="shared" si="70"/>
        <v>0</v>
      </c>
      <c r="AG192" s="195">
        <f t="shared" si="70"/>
        <v>0</v>
      </c>
      <c r="AH192" s="195">
        <f t="shared" si="70"/>
        <v>0</v>
      </c>
      <c r="AI192" s="195">
        <f t="shared" si="70"/>
        <v>0</v>
      </c>
      <c r="AJ192" s="195">
        <f t="shared" si="70"/>
        <v>0</v>
      </c>
      <c r="AK192" s="195">
        <f t="shared" si="70"/>
        <v>0</v>
      </c>
      <c r="AL192" s="196">
        <f t="shared" si="70"/>
        <v>0</v>
      </c>
      <c r="AM192" s="175"/>
    </row>
    <row r="193" spans="2:39" ht="15" hidden="1" outlineLevel="2">
      <c r="B193" s="189"/>
      <c r="C193" s="189"/>
      <c r="D193" s="198" t="s">
        <v>36</v>
      </c>
      <c r="E193" s="390" t="s">
        <v>426</v>
      </c>
      <c r="F193" s="236">
        <f t="shared" ref="F193:AL193" si="71">+IF(F5=0,0,IF(E219&lt;&gt;0,F219/E219-1,0))</f>
        <v>0.3459533609452925</v>
      </c>
      <c r="G193" s="236">
        <f t="shared" si="71"/>
        <v>1.0785001542886654</v>
      </c>
      <c r="H193" s="237">
        <f t="shared" si="71"/>
        <v>-0.24720853846153845</v>
      </c>
      <c r="I193" s="199">
        <f t="shared" si="71"/>
        <v>7.2768861618535894</v>
      </c>
      <c r="J193" s="200">
        <f t="shared" si="71"/>
        <v>-0.81481481481481488</v>
      </c>
      <c r="K193" s="200">
        <f t="shared" si="71"/>
        <v>0</v>
      </c>
      <c r="L193" s="200">
        <f t="shared" si="71"/>
        <v>0</v>
      </c>
      <c r="M193" s="200">
        <f t="shared" si="71"/>
        <v>0</v>
      </c>
      <c r="N193" s="200">
        <f t="shared" si="71"/>
        <v>0</v>
      </c>
      <c r="O193" s="200">
        <f t="shared" si="71"/>
        <v>0</v>
      </c>
      <c r="P193" s="200">
        <f t="shared" si="71"/>
        <v>0</v>
      </c>
      <c r="Q193" s="200">
        <f t="shared" si="71"/>
        <v>0</v>
      </c>
      <c r="R193" s="200">
        <f t="shared" si="71"/>
        <v>0</v>
      </c>
      <c r="S193" s="200">
        <f t="shared" si="71"/>
        <v>0</v>
      </c>
      <c r="T193" s="200">
        <f t="shared" si="71"/>
        <v>0</v>
      </c>
      <c r="U193" s="200">
        <f t="shared" si="71"/>
        <v>0</v>
      </c>
      <c r="V193" s="200">
        <f t="shared" si="71"/>
        <v>0</v>
      </c>
      <c r="W193" s="200">
        <f t="shared" si="71"/>
        <v>0</v>
      </c>
      <c r="X193" s="200">
        <f t="shared" si="71"/>
        <v>0</v>
      </c>
      <c r="Y193" s="200">
        <f t="shared" si="71"/>
        <v>0</v>
      </c>
      <c r="Z193" s="200">
        <f t="shared" si="71"/>
        <v>0</v>
      </c>
      <c r="AA193" s="200">
        <f t="shared" si="71"/>
        <v>0</v>
      </c>
      <c r="AB193" s="200">
        <f t="shared" si="71"/>
        <v>0</v>
      </c>
      <c r="AC193" s="200">
        <f t="shared" si="71"/>
        <v>0</v>
      </c>
      <c r="AD193" s="200">
        <f t="shared" si="71"/>
        <v>0</v>
      </c>
      <c r="AE193" s="200">
        <f t="shared" si="71"/>
        <v>0</v>
      </c>
      <c r="AF193" s="200">
        <f t="shared" si="71"/>
        <v>0</v>
      </c>
      <c r="AG193" s="200">
        <f t="shared" si="71"/>
        <v>0</v>
      </c>
      <c r="AH193" s="200">
        <f t="shared" si="71"/>
        <v>0</v>
      </c>
      <c r="AI193" s="200">
        <f t="shared" si="71"/>
        <v>0</v>
      </c>
      <c r="AJ193" s="200">
        <f t="shared" si="71"/>
        <v>0</v>
      </c>
      <c r="AK193" s="200">
        <f t="shared" si="71"/>
        <v>0</v>
      </c>
      <c r="AL193" s="201">
        <f t="shared" si="71"/>
        <v>0</v>
      </c>
      <c r="AM193" s="175"/>
    </row>
    <row r="194" spans="2:39" hidden="1" outlineLevel="2">
      <c r="B194" s="272"/>
      <c r="C194" s="272"/>
      <c r="D194" s="190" t="s">
        <v>21</v>
      </c>
      <c r="E194" s="387" t="s">
        <v>426</v>
      </c>
      <c r="F194" s="191">
        <f t="shared" ref="F194:AL194" si="72">+IF(F5=0,0,IF(E220&lt;&gt;0,F220/E220-1,0))</f>
        <v>0.18663628051654224</v>
      </c>
      <c r="G194" s="191">
        <f t="shared" si="72"/>
        <v>-7.230550734749519E-2</v>
      </c>
      <c r="H194" s="192">
        <f t="shared" si="72"/>
        <v>-0.10883095404818366</v>
      </c>
      <c r="I194" s="273">
        <f t="shared" si="72"/>
        <v>0.10386949833082615</v>
      </c>
      <c r="J194" s="274">
        <f t="shared" si="72"/>
        <v>-5.5487026595378297E-2</v>
      </c>
      <c r="K194" s="274">
        <f t="shared" si="72"/>
        <v>-8.8225584869421447E-2</v>
      </c>
      <c r="L194" s="274">
        <f t="shared" si="72"/>
        <v>2.5114285714284978E-3</v>
      </c>
      <c r="M194" s="274">
        <f t="shared" si="72"/>
        <v>5.3191556063485468E-3</v>
      </c>
      <c r="N194" s="274">
        <f t="shared" si="72"/>
        <v>1.7469711438885538E-2</v>
      </c>
      <c r="O194" s="274">
        <f t="shared" si="72"/>
        <v>-2.0988067852757974E-2</v>
      </c>
      <c r="P194" s="274">
        <f t="shared" si="72"/>
        <v>-3.4684884773803493E-3</v>
      </c>
      <c r="Q194" s="274">
        <f t="shared" si="72"/>
        <v>3.742523836931988E-2</v>
      </c>
      <c r="R194" s="274">
        <f t="shared" si="72"/>
        <v>2.432912543023491E-2</v>
      </c>
      <c r="S194" s="274">
        <f t="shared" si="72"/>
        <v>2.1985993394441072E-2</v>
      </c>
      <c r="T194" s="274">
        <f t="shared" si="72"/>
        <v>2.9910617364567127E-2</v>
      </c>
      <c r="U194" s="274">
        <f t="shared" si="72"/>
        <v>7.3019589123136441E-2</v>
      </c>
      <c r="V194" s="274">
        <f t="shared" si="72"/>
        <v>0</v>
      </c>
      <c r="W194" s="274">
        <f t="shared" si="72"/>
        <v>0</v>
      </c>
      <c r="X194" s="274">
        <f t="shared" si="72"/>
        <v>0</v>
      </c>
      <c r="Y194" s="274">
        <f t="shared" si="72"/>
        <v>0</v>
      </c>
      <c r="Z194" s="274">
        <f t="shared" si="72"/>
        <v>0</v>
      </c>
      <c r="AA194" s="274">
        <f t="shared" si="72"/>
        <v>0</v>
      </c>
      <c r="AB194" s="274">
        <f t="shared" si="72"/>
        <v>0</v>
      </c>
      <c r="AC194" s="274">
        <f t="shared" si="72"/>
        <v>0</v>
      </c>
      <c r="AD194" s="274">
        <f t="shared" si="72"/>
        <v>0</v>
      </c>
      <c r="AE194" s="274">
        <f t="shared" si="72"/>
        <v>0</v>
      </c>
      <c r="AF194" s="274">
        <f t="shared" si="72"/>
        <v>0</v>
      </c>
      <c r="AG194" s="274">
        <f t="shared" si="72"/>
        <v>0</v>
      </c>
      <c r="AH194" s="274">
        <f t="shared" si="72"/>
        <v>0</v>
      </c>
      <c r="AI194" s="274">
        <f t="shared" si="72"/>
        <v>0</v>
      </c>
      <c r="AJ194" s="274">
        <f t="shared" si="72"/>
        <v>0</v>
      </c>
      <c r="AK194" s="274">
        <f t="shared" si="72"/>
        <v>0</v>
      </c>
      <c r="AL194" s="275">
        <f t="shared" si="72"/>
        <v>0</v>
      </c>
      <c r="AM194" s="276"/>
    </row>
    <row r="195" spans="2:39" ht="15" hidden="1" outlineLevel="2">
      <c r="B195" s="189"/>
      <c r="C195" s="189"/>
      <c r="D195" s="202" t="s">
        <v>390</v>
      </c>
      <c r="E195" s="389" t="s">
        <v>426</v>
      </c>
      <c r="F195" s="234">
        <f t="shared" ref="F195:AL195" si="73">+IF(F5=0,0,IF(E221&lt;&gt;0,F221/E221-1,0))</f>
        <v>0.18663628051654224</v>
      </c>
      <c r="G195" s="234">
        <f t="shared" si="73"/>
        <v>-7.230550734749519E-2</v>
      </c>
      <c r="H195" s="235">
        <f t="shared" si="73"/>
        <v>-0.10883095404818366</v>
      </c>
      <c r="I195" s="194">
        <f t="shared" si="73"/>
        <v>-5.1957837334253298E-2</v>
      </c>
      <c r="J195" s="195">
        <f t="shared" si="73"/>
        <v>-7.6899182120636622E-3</v>
      </c>
      <c r="K195" s="195">
        <f t="shared" si="73"/>
        <v>1.0503928492815451E-2</v>
      </c>
      <c r="L195" s="195">
        <f t="shared" si="73"/>
        <v>2.5114285714284978E-3</v>
      </c>
      <c r="M195" s="195">
        <f t="shared" si="73"/>
        <v>5.3191556063485468E-3</v>
      </c>
      <c r="N195" s="195">
        <f t="shared" si="73"/>
        <v>1.7469711438885538E-2</v>
      </c>
      <c r="O195" s="195">
        <f t="shared" si="73"/>
        <v>-2.0988067852757974E-2</v>
      </c>
      <c r="P195" s="195">
        <f t="shared" si="73"/>
        <v>-3.4684884773803493E-3</v>
      </c>
      <c r="Q195" s="195">
        <f t="shared" si="73"/>
        <v>3.742523836931988E-2</v>
      </c>
      <c r="R195" s="195">
        <f t="shared" si="73"/>
        <v>2.432912543023491E-2</v>
      </c>
      <c r="S195" s="195">
        <f t="shared" si="73"/>
        <v>2.1985993394441072E-2</v>
      </c>
      <c r="T195" s="195">
        <f t="shared" si="73"/>
        <v>2.9910617364567127E-2</v>
      </c>
      <c r="U195" s="195">
        <f t="shared" si="73"/>
        <v>7.3019589123136441E-2</v>
      </c>
      <c r="V195" s="195">
        <f t="shared" si="73"/>
        <v>0</v>
      </c>
      <c r="W195" s="195">
        <f t="shared" si="73"/>
        <v>0</v>
      </c>
      <c r="X195" s="195">
        <f t="shared" si="73"/>
        <v>0</v>
      </c>
      <c r="Y195" s="195">
        <f t="shared" si="73"/>
        <v>0</v>
      </c>
      <c r="Z195" s="195">
        <f t="shared" si="73"/>
        <v>0</v>
      </c>
      <c r="AA195" s="195">
        <f t="shared" si="73"/>
        <v>0</v>
      </c>
      <c r="AB195" s="195">
        <f t="shared" si="73"/>
        <v>0</v>
      </c>
      <c r="AC195" s="195">
        <f t="shared" si="73"/>
        <v>0</v>
      </c>
      <c r="AD195" s="195">
        <f t="shared" si="73"/>
        <v>0</v>
      </c>
      <c r="AE195" s="195">
        <f t="shared" si="73"/>
        <v>0</v>
      </c>
      <c r="AF195" s="195">
        <f t="shared" si="73"/>
        <v>0</v>
      </c>
      <c r="AG195" s="195">
        <f t="shared" si="73"/>
        <v>0</v>
      </c>
      <c r="AH195" s="195">
        <f t="shared" si="73"/>
        <v>0</v>
      </c>
      <c r="AI195" s="195">
        <f t="shared" si="73"/>
        <v>0</v>
      </c>
      <c r="AJ195" s="195">
        <f t="shared" si="73"/>
        <v>0</v>
      </c>
      <c r="AK195" s="195">
        <f t="shared" si="73"/>
        <v>0</v>
      </c>
      <c r="AL195" s="196">
        <f t="shared" si="73"/>
        <v>0</v>
      </c>
      <c r="AM195" s="175"/>
    </row>
    <row r="196" spans="2:39" hidden="1" outlineLevel="2">
      <c r="B196" s="272"/>
      <c r="C196" s="272"/>
      <c r="D196" s="203" t="s">
        <v>37</v>
      </c>
      <c r="E196" s="391" t="s">
        <v>426</v>
      </c>
      <c r="F196" s="238">
        <f t="shared" ref="F196:AL196" si="74">+IF(F5=0,0,IF(E222&lt;&gt;0,F222/E222-1,0))</f>
        <v>-4.4065490834308552E-3</v>
      </c>
      <c r="G196" s="238">
        <f t="shared" si="74"/>
        <v>0.12069384691718565</v>
      </c>
      <c r="H196" s="239">
        <f t="shared" si="74"/>
        <v>-2.2701573800010144E-2</v>
      </c>
      <c r="I196" s="277">
        <f t="shared" si="74"/>
        <v>9.1480011785367576E-2</v>
      </c>
      <c r="J196" s="278">
        <f t="shared" si="74"/>
        <v>-3.6024540436970454E-2</v>
      </c>
      <c r="K196" s="278">
        <f t="shared" si="74"/>
        <v>4.2401568292715908E-5</v>
      </c>
      <c r="L196" s="278">
        <f t="shared" si="74"/>
        <v>4.4771699664851727E-3</v>
      </c>
      <c r="M196" s="278">
        <f t="shared" si="74"/>
        <v>1.1463959972429549E-2</v>
      </c>
      <c r="N196" s="278">
        <f t="shared" si="74"/>
        <v>1.2538338588486742E-2</v>
      </c>
      <c r="O196" s="278">
        <f t="shared" si="74"/>
        <v>1.9150735396673557E-2</v>
      </c>
      <c r="P196" s="278">
        <f t="shared" si="74"/>
        <v>1.1622717919587133E-2</v>
      </c>
      <c r="Q196" s="278">
        <f t="shared" si="74"/>
        <v>-1.7009412838788318E-2</v>
      </c>
      <c r="R196" s="278">
        <f t="shared" si="74"/>
        <v>2.5163963664063038E-2</v>
      </c>
      <c r="S196" s="278">
        <f t="shared" si="74"/>
        <v>2.4946948603243424E-2</v>
      </c>
      <c r="T196" s="278">
        <f t="shared" si="74"/>
        <v>2.4643716072287436E-2</v>
      </c>
      <c r="U196" s="278">
        <f t="shared" si="74"/>
        <v>2.4756006251574147E-2</v>
      </c>
      <c r="V196" s="278">
        <f t="shared" si="74"/>
        <v>0</v>
      </c>
      <c r="W196" s="278">
        <f t="shared" si="74"/>
        <v>0</v>
      </c>
      <c r="X196" s="278">
        <f t="shared" si="74"/>
        <v>0</v>
      </c>
      <c r="Y196" s="278">
        <f t="shared" si="74"/>
        <v>0</v>
      </c>
      <c r="Z196" s="278">
        <f t="shared" si="74"/>
        <v>0</v>
      </c>
      <c r="AA196" s="278">
        <f t="shared" si="74"/>
        <v>0</v>
      </c>
      <c r="AB196" s="278">
        <f t="shared" si="74"/>
        <v>0</v>
      </c>
      <c r="AC196" s="278">
        <f t="shared" si="74"/>
        <v>0</v>
      </c>
      <c r="AD196" s="278">
        <f t="shared" si="74"/>
        <v>0</v>
      </c>
      <c r="AE196" s="278">
        <f t="shared" si="74"/>
        <v>0</v>
      </c>
      <c r="AF196" s="278">
        <f t="shared" si="74"/>
        <v>0</v>
      </c>
      <c r="AG196" s="278">
        <f t="shared" si="74"/>
        <v>0</v>
      </c>
      <c r="AH196" s="278">
        <f t="shared" si="74"/>
        <v>0</v>
      </c>
      <c r="AI196" s="278">
        <f t="shared" si="74"/>
        <v>0</v>
      </c>
      <c r="AJ196" s="278">
        <f t="shared" si="74"/>
        <v>0</v>
      </c>
      <c r="AK196" s="278">
        <f t="shared" si="74"/>
        <v>0</v>
      </c>
      <c r="AL196" s="279">
        <f t="shared" si="74"/>
        <v>0</v>
      </c>
      <c r="AM196" s="276"/>
    </row>
    <row r="197" spans="2:39" ht="15" hidden="1" outlineLevel="2">
      <c r="B197" s="189"/>
      <c r="C197" s="189"/>
      <c r="D197" s="197" t="s">
        <v>39</v>
      </c>
      <c r="E197" s="389" t="s">
        <v>426</v>
      </c>
      <c r="F197" s="234">
        <f t="shared" ref="F197:AL197" si="75">+IF(F5=0,0,IF(E223&lt;&gt;0,F223/E223-1,0))</f>
        <v>-4.4065490834308552E-3</v>
      </c>
      <c r="G197" s="234">
        <f t="shared" si="75"/>
        <v>0.12069384691718565</v>
      </c>
      <c r="H197" s="235">
        <f t="shared" si="75"/>
        <v>-2.2701573800010144E-2</v>
      </c>
      <c r="I197" s="194">
        <f t="shared" si="75"/>
        <v>6.552215847313958E-2</v>
      </c>
      <c r="J197" s="195">
        <f t="shared" si="75"/>
        <v>-1.3936797734101836E-2</v>
      </c>
      <c r="K197" s="195">
        <f t="shared" si="75"/>
        <v>1.4584639617554185E-3</v>
      </c>
      <c r="L197" s="195">
        <f t="shared" si="75"/>
        <v>4.4771699664851727E-3</v>
      </c>
      <c r="M197" s="195">
        <f t="shared" si="75"/>
        <v>1.1463959972429549E-2</v>
      </c>
      <c r="N197" s="195">
        <f t="shared" si="75"/>
        <v>1.2538338588486742E-2</v>
      </c>
      <c r="O197" s="195">
        <f t="shared" si="75"/>
        <v>1.9150735396673557E-2</v>
      </c>
      <c r="P197" s="195">
        <f t="shared" si="75"/>
        <v>1.1622717919587133E-2</v>
      </c>
      <c r="Q197" s="195">
        <f t="shared" si="75"/>
        <v>-1.7009412838788318E-2</v>
      </c>
      <c r="R197" s="195">
        <f t="shared" si="75"/>
        <v>2.5163963664063038E-2</v>
      </c>
      <c r="S197" s="195">
        <f t="shared" si="75"/>
        <v>2.4946948603243424E-2</v>
      </c>
      <c r="T197" s="195">
        <f t="shared" si="75"/>
        <v>2.4643716072287436E-2</v>
      </c>
      <c r="U197" s="195">
        <f t="shared" si="75"/>
        <v>2.4756006251574147E-2</v>
      </c>
      <c r="V197" s="195">
        <f t="shared" si="75"/>
        <v>0</v>
      </c>
      <c r="W197" s="195">
        <f t="shared" si="75"/>
        <v>0</v>
      </c>
      <c r="X197" s="195">
        <f t="shared" si="75"/>
        <v>0</v>
      </c>
      <c r="Y197" s="195">
        <f t="shared" si="75"/>
        <v>0</v>
      </c>
      <c r="Z197" s="195">
        <f t="shared" si="75"/>
        <v>0</v>
      </c>
      <c r="AA197" s="195">
        <f t="shared" si="75"/>
        <v>0</v>
      </c>
      <c r="AB197" s="195">
        <f t="shared" si="75"/>
        <v>0</v>
      </c>
      <c r="AC197" s="195">
        <f t="shared" si="75"/>
        <v>0</v>
      </c>
      <c r="AD197" s="195">
        <f t="shared" si="75"/>
        <v>0</v>
      </c>
      <c r="AE197" s="195">
        <f t="shared" si="75"/>
        <v>0</v>
      </c>
      <c r="AF197" s="195">
        <f t="shared" si="75"/>
        <v>0</v>
      </c>
      <c r="AG197" s="195">
        <f t="shared" si="75"/>
        <v>0</v>
      </c>
      <c r="AH197" s="195">
        <f t="shared" si="75"/>
        <v>0</v>
      </c>
      <c r="AI197" s="195">
        <f t="shared" si="75"/>
        <v>0</v>
      </c>
      <c r="AJ197" s="195">
        <f t="shared" si="75"/>
        <v>0</v>
      </c>
      <c r="AK197" s="195">
        <f t="shared" si="75"/>
        <v>0</v>
      </c>
      <c r="AL197" s="196">
        <f t="shared" si="75"/>
        <v>0</v>
      </c>
      <c r="AM197" s="175"/>
    </row>
    <row r="198" spans="2:39" ht="15" hidden="1" outlineLevel="2">
      <c r="B198" s="189"/>
      <c r="C198" s="189"/>
      <c r="D198" s="197" t="s">
        <v>38</v>
      </c>
      <c r="E198" s="389" t="s">
        <v>426</v>
      </c>
      <c r="F198" s="234">
        <f t="shared" ref="F198:AL198" si="76">+IF(F5=0,0,IF(E224&lt;&gt;0,F224/E224-1,0))</f>
        <v>0</v>
      </c>
      <c r="G198" s="234">
        <f t="shared" si="76"/>
        <v>0.10636979690636705</v>
      </c>
      <c r="H198" s="235">
        <f t="shared" si="76"/>
        <v>-1.525927781295866E-2</v>
      </c>
      <c r="I198" s="194">
        <f t="shared" si="76"/>
        <v>5.096514628949067E-2</v>
      </c>
      <c r="J198" s="195">
        <f t="shared" si="76"/>
        <v>-3.4619673762426029E-3</v>
      </c>
      <c r="K198" s="195">
        <f t="shared" si="76"/>
        <v>3.0000112445863314E-2</v>
      </c>
      <c r="L198" s="195">
        <f t="shared" si="76"/>
        <v>2.999997270731769E-2</v>
      </c>
      <c r="M198" s="195">
        <f t="shared" si="76"/>
        <v>2.9999916322893228E-2</v>
      </c>
      <c r="N198" s="195">
        <f t="shared" si="76"/>
        <v>3.0000005415994346E-2</v>
      </c>
      <c r="O198" s="195">
        <f t="shared" si="76"/>
        <v>3.0000007887370561E-2</v>
      </c>
      <c r="P198" s="195">
        <f t="shared" si="76"/>
        <v>3.000008551032618E-2</v>
      </c>
      <c r="Q198" s="195">
        <f t="shared" si="76"/>
        <v>2.999998389169467E-2</v>
      </c>
      <c r="R198" s="195">
        <f t="shared" si="76"/>
        <v>2.9999944661534217E-2</v>
      </c>
      <c r="S198" s="195">
        <f t="shared" si="76"/>
        <v>3.0000037375073729E-2</v>
      </c>
      <c r="T198" s="195">
        <f t="shared" si="76"/>
        <v>2.9999959177712032E-2</v>
      </c>
      <c r="U198" s="195">
        <f t="shared" si="76"/>
        <v>2.9999979082429906E-2</v>
      </c>
      <c r="V198" s="195">
        <f t="shared" si="76"/>
        <v>0</v>
      </c>
      <c r="W198" s="195">
        <f t="shared" si="76"/>
        <v>0</v>
      </c>
      <c r="X198" s="195">
        <f t="shared" si="76"/>
        <v>0</v>
      </c>
      <c r="Y198" s="195">
        <f t="shared" si="76"/>
        <v>0</v>
      </c>
      <c r="Z198" s="195">
        <f t="shared" si="76"/>
        <v>0</v>
      </c>
      <c r="AA198" s="195">
        <f t="shared" si="76"/>
        <v>0</v>
      </c>
      <c r="AB198" s="195">
        <f t="shared" si="76"/>
        <v>0</v>
      </c>
      <c r="AC198" s="195">
        <f t="shared" si="76"/>
        <v>0</v>
      </c>
      <c r="AD198" s="195">
        <f t="shared" si="76"/>
        <v>0</v>
      </c>
      <c r="AE198" s="195">
        <f t="shared" si="76"/>
        <v>0</v>
      </c>
      <c r="AF198" s="195">
        <f t="shared" si="76"/>
        <v>0</v>
      </c>
      <c r="AG198" s="195">
        <f t="shared" si="76"/>
        <v>0</v>
      </c>
      <c r="AH198" s="195">
        <f t="shared" si="76"/>
        <v>0</v>
      </c>
      <c r="AI198" s="195">
        <f t="shared" si="76"/>
        <v>0</v>
      </c>
      <c r="AJ198" s="195">
        <f t="shared" si="76"/>
        <v>0</v>
      </c>
      <c r="AK198" s="195">
        <f t="shared" si="76"/>
        <v>0</v>
      </c>
      <c r="AL198" s="196">
        <f t="shared" si="76"/>
        <v>0</v>
      </c>
      <c r="AM198" s="175"/>
    </row>
    <row r="199" spans="2:39" ht="24" hidden="1" outlineLevel="2">
      <c r="B199" s="189"/>
      <c r="C199" s="189"/>
      <c r="D199" s="198" t="s">
        <v>389</v>
      </c>
      <c r="E199" s="392" t="s">
        <v>426</v>
      </c>
      <c r="F199" s="240">
        <f t="shared" ref="F199:AL199" si="77">+IF(F5=0,0,IF(E225&lt;&gt;0,F225/E225-1,0))</f>
        <v>-0.54390707146540263</v>
      </c>
      <c r="G199" s="240">
        <f t="shared" si="77"/>
        <v>0.59811626541561758</v>
      </c>
      <c r="H199" s="241">
        <f t="shared" si="77"/>
        <v>-0.33311464919886025</v>
      </c>
      <c r="I199" s="204">
        <f t="shared" si="77"/>
        <v>7.2329911149259241E-2</v>
      </c>
      <c r="J199" s="205">
        <f t="shared" si="77"/>
        <v>-6.1980543150934264E-2</v>
      </c>
      <c r="K199" s="205">
        <f t="shared" si="77"/>
        <v>-6.0212432828635531E-2</v>
      </c>
      <c r="L199" s="205">
        <f t="shared" si="77"/>
        <v>-2.6026287127798975E-2</v>
      </c>
      <c r="M199" s="205">
        <f t="shared" si="77"/>
        <v>-1.6056517364203549E-2</v>
      </c>
      <c r="N199" s="205">
        <f t="shared" si="77"/>
        <v>-1.5074555076408092E-2</v>
      </c>
      <c r="O199" s="205">
        <f t="shared" si="77"/>
        <v>5.5531445556242787E-3</v>
      </c>
      <c r="P199" s="205">
        <f t="shared" si="77"/>
        <v>-1.2594492732031504E-2</v>
      </c>
      <c r="Q199" s="205">
        <f t="shared" si="77"/>
        <v>-0.10985235123537018</v>
      </c>
      <c r="R199" s="205">
        <f t="shared" si="77"/>
        <v>3.3097872532518835E-2</v>
      </c>
      <c r="S199" s="205">
        <f t="shared" si="77"/>
        <v>3.3641173665900359E-2</v>
      </c>
      <c r="T199" s="205">
        <f t="shared" si="77"/>
        <v>3.4144798913652741E-2</v>
      </c>
      <c r="U199" s="205">
        <f t="shared" si="77"/>
        <v>2.8206471273539258E-2</v>
      </c>
      <c r="V199" s="205">
        <f t="shared" si="77"/>
        <v>0</v>
      </c>
      <c r="W199" s="205">
        <f t="shared" si="77"/>
        <v>0</v>
      </c>
      <c r="X199" s="205">
        <f t="shared" si="77"/>
        <v>0</v>
      </c>
      <c r="Y199" s="205">
        <f t="shared" si="77"/>
        <v>0</v>
      </c>
      <c r="Z199" s="205">
        <f t="shared" si="77"/>
        <v>0</v>
      </c>
      <c r="AA199" s="205">
        <f t="shared" si="77"/>
        <v>0</v>
      </c>
      <c r="AB199" s="205">
        <f t="shared" si="77"/>
        <v>0</v>
      </c>
      <c r="AC199" s="205">
        <f t="shared" si="77"/>
        <v>0</v>
      </c>
      <c r="AD199" s="205">
        <f t="shared" si="77"/>
        <v>0</v>
      </c>
      <c r="AE199" s="205">
        <f t="shared" si="77"/>
        <v>0</v>
      </c>
      <c r="AF199" s="205">
        <f t="shared" si="77"/>
        <v>0</v>
      </c>
      <c r="AG199" s="205">
        <f t="shared" si="77"/>
        <v>0</v>
      </c>
      <c r="AH199" s="205">
        <f t="shared" si="77"/>
        <v>0</v>
      </c>
      <c r="AI199" s="205">
        <f t="shared" si="77"/>
        <v>0</v>
      </c>
      <c r="AJ199" s="205">
        <f t="shared" si="77"/>
        <v>0</v>
      </c>
      <c r="AK199" s="205">
        <f t="shared" si="77"/>
        <v>0</v>
      </c>
      <c r="AL199" s="206">
        <f t="shared" si="77"/>
        <v>0</v>
      </c>
      <c r="AM199" s="175"/>
    </row>
    <row r="200" spans="2:39" ht="24" hidden="1" outlineLevel="1">
      <c r="B200" s="189"/>
      <c r="C200" s="189"/>
      <c r="D200" s="304" t="s">
        <v>439</v>
      </c>
      <c r="E200" s="207"/>
      <c r="F200" s="207"/>
      <c r="G200" s="416" t="s">
        <v>473</v>
      </c>
      <c r="H200" s="416" t="s">
        <v>472</v>
      </c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175"/>
    </row>
    <row r="201" spans="2:39" hidden="1" outlineLevel="2">
      <c r="B201" s="272"/>
      <c r="C201" s="272"/>
      <c r="D201" s="190" t="s">
        <v>26</v>
      </c>
      <c r="E201" s="393" t="s">
        <v>426</v>
      </c>
      <c r="F201" s="259">
        <f t="shared" ref="F201:F206" si="78">+IF(F$214=0,"",F214-E214)</f>
        <v>-494792.74000000022</v>
      </c>
      <c r="G201" s="259">
        <f t="shared" ref="G201:G206" si="79">+IF(G$214=0,"",G214-F214)</f>
        <v>2555003.7600000016</v>
      </c>
      <c r="H201" s="260">
        <f t="shared" ref="H201:H206" si="80">+IF(H$214=0,"",H214-G214)</f>
        <v>89741.479999996722</v>
      </c>
      <c r="I201" s="280">
        <f t="shared" ref="I201:AL201" si="81">+IF(I$214=0,"",I214-H214)</f>
        <v>563279.35000000149</v>
      </c>
      <c r="J201" s="281">
        <f t="shared" si="81"/>
        <v>1176454.25</v>
      </c>
      <c r="K201" s="281">
        <f t="shared" si="81"/>
        <v>-2650344</v>
      </c>
      <c r="L201" s="281">
        <f t="shared" si="81"/>
        <v>343950</v>
      </c>
      <c r="M201" s="281">
        <f t="shared" si="81"/>
        <v>293319</v>
      </c>
      <c r="N201" s="281">
        <f t="shared" si="81"/>
        <v>308118</v>
      </c>
      <c r="O201" s="281">
        <f t="shared" si="81"/>
        <v>223361</v>
      </c>
      <c r="P201" s="281">
        <f t="shared" si="81"/>
        <v>39063</v>
      </c>
      <c r="Q201" s="281">
        <f t="shared" si="81"/>
        <v>555234</v>
      </c>
      <c r="R201" s="281">
        <f t="shared" si="81"/>
        <v>571891</v>
      </c>
      <c r="S201" s="281">
        <f t="shared" si="81"/>
        <v>589048</v>
      </c>
      <c r="T201" s="281">
        <f t="shared" si="81"/>
        <v>606720</v>
      </c>
      <c r="U201" s="281">
        <f t="shared" si="81"/>
        <v>624921</v>
      </c>
      <c r="V201" s="281" t="str">
        <f t="shared" si="81"/>
        <v/>
      </c>
      <c r="W201" s="281" t="str">
        <f t="shared" si="81"/>
        <v/>
      </c>
      <c r="X201" s="281" t="str">
        <f t="shared" si="81"/>
        <v/>
      </c>
      <c r="Y201" s="281" t="str">
        <f t="shared" si="81"/>
        <v/>
      </c>
      <c r="Z201" s="281" t="str">
        <f t="shared" si="81"/>
        <v/>
      </c>
      <c r="AA201" s="281" t="str">
        <f t="shared" si="81"/>
        <v/>
      </c>
      <c r="AB201" s="281" t="str">
        <f t="shared" si="81"/>
        <v/>
      </c>
      <c r="AC201" s="281" t="str">
        <f t="shared" si="81"/>
        <v/>
      </c>
      <c r="AD201" s="281" t="str">
        <f t="shared" si="81"/>
        <v/>
      </c>
      <c r="AE201" s="281" t="str">
        <f t="shared" si="81"/>
        <v/>
      </c>
      <c r="AF201" s="281" t="str">
        <f t="shared" si="81"/>
        <v/>
      </c>
      <c r="AG201" s="281" t="str">
        <f t="shared" si="81"/>
        <v/>
      </c>
      <c r="AH201" s="281" t="str">
        <f t="shared" si="81"/>
        <v/>
      </c>
      <c r="AI201" s="281" t="str">
        <f t="shared" si="81"/>
        <v/>
      </c>
      <c r="AJ201" s="281" t="str">
        <f t="shared" si="81"/>
        <v/>
      </c>
      <c r="AK201" s="281" t="str">
        <f t="shared" si="81"/>
        <v/>
      </c>
      <c r="AL201" s="282" t="str">
        <f t="shared" si="81"/>
        <v/>
      </c>
      <c r="AM201" s="276"/>
    </row>
    <row r="202" spans="2:39" ht="15" hidden="1" outlineLevel="2">
      <c r="B202" s="189"/>
      <c r="C202" s="189"/>
      <c r="D202" s="193" t="s">
        <v>391</v>
      </c>
      <c r="E202" s="394" t="s">
        <v>426</v>
      </c>
      <c r="F202" s="264">
        <f t="shared" si="78"/>
        <v>-494792.74000000022</v>
      </c>
      <c r="G202" s="264">
        <f t="shared" si="79"/>
        <v>2555003.7600000016</v>
      </c>
      <c r="H202" s="265">
        <f t="shared" si="80"/>
        <v>89741.479999996722</v>
      </c>
      <c r="I202" s="212">
        <f t="shared" ref="I202:AL202" si="82">+IF(I$214=0,"",I215-H215)</f>
        <v>-665163.64999999851</v>
      </c>
      <c r="J202" s="213">
        <f t="shared" si="82"/>
        <v>-745446.75</v>
      </c>
      <c r="K202" s="213">
        <f t="shared" si="82"/>
        <v>500000</v>
      </c>
      <c r="L202" s="213">
        <f t="shared" si="82"/>
        <v>343950</v>
      </c>
      <c r="M202" s="213">
        <f t="shared" si="82"/>
        <v>293319</v>
      </c>
      <c r="N202" s="213">
        <f t="shared" si="82"/>
        <v>308118</v>
      </c>
      <c r="O202" s="213">
        <f t="shared" si="82"/>
        <v>223361</v>
      </c>
      <c r="P202" s="213">
        <f t="shared" si="82"/>
        <v>39063</v>
      </c>
      <c r="Q202" s="213">
        <f t="shared" si="82"/>
        <v>555234</v>
      </c>
      <c r="R202" s="213">
        <f t="shared" si="82"/>
        <v>571891</v>
      </c>
      <c r="S202" s="213">
        <f t="shared" si="82"/>
        <v>589048</v>
      </c>
      <c r="T202" s="213">
        <f t="shared" si="82"/>
        <v>606720</v>
      </c>
      <c r="U202" s="213">
        <f t="shared" si="82"/>
        <v>624921</v>
      </c>
      <c r="V202" s="213" t="str">
        <f t="shared" si="82"/>
        <v/>
      </c>
      <c r="W202" s="213" t="str">
        <f t="shared" si="82"/>
        <v/>
      </c>
      <c r="X202" s="213" t="str">
        <f t="shared" si="82"/>
        <v/>
      </c>
      <c r="Y202" s="213" t="str">
        <f t="shared" si="82"/>
        <v/>
      </c>
      <c r="Z202" s="213" t="str">
        <f t="shared" si="82"/>
        <v/>
      </c>
      <c r="AA202" s="213" t="str">
        <f t="shared" si="82"/>
        <v/>
      </c>
      <c r="AB202" s="213" t="str">
        <f t="shared" si="82"/>
        <v/>
      </c>
      <c r="AC202" s="213" t="str">
        <f t="shared" si="82"/>
        <v/>
      </c>
      <c r="AD202" s="213" t="str">
        <f t="shared" si="82"/>
        <v/>
      </c>
      <c r="AE202" s="213" t="str">
        <f t="shared" si="82"/>
        <v/>
      </c>
      <c r="AF202" s="213" t="str">
        <f t="shared" si="82"/>
        <v/>
      </c>
      <c r="AG202" s="213" t="str">
        <f t="shared" si="82"/>
        <v/>
      </c>
      <c r="AH202" s="213" t="str">
        <f t="shared" si="82"/>
        <v/>
      </c>
      <c r="AI202" s="213" t="str">
        <f t="shared" si="82"/>
        <v/>
      </c>
      <c r="AJ202" s="213" t="str">
        <f t="shared" si="82"/>
        <v/>
      </c>
      <c r="AK202" s="213" t="str">
        <f t="shared" si="82"/>
        <v/>
      </c>
      <c r="AL202" s="214" t="str">
        <f t="shared" si="82"/>
        <v/>
      </c>
      <c r="AM202" s="175"/>
    </row>
    <row r="203" spans="2:39" ht="15" hidden="1" outlineLevel="2">
      <c r="B203" s="189"/>
      <c r="C203" s="189"/>
      <c r="D203" s="197" t="s">
        <v>392</v>
      </c>
      <c r="E203" s="395" t="s">
        <v>426</v>
      </c>
      <c r="F203" s="266">
        <f t="shared" si="78"/>
        <v>805000.65000000037</v>
      </c>
      <c r="G203" s="266">
        <f t="shared" si="79"/>
        <v>1599412.959999999</v>
      </c>
      <c r="H203" s="267">
        <f t="shared" si="80"/>
        <v>246763.3200000003</v>
      </c>
      <c r="I203" s="212">
        <f t="shared" ref="I203:AL203" si="83">+IF(I$214=0,"",I216-H216)</f>
        <v>231509.25999999978</v>
      </c>
      <c r="J203" s="213">
        <f t="shared" si="83"/>
        <v>588852.5</v>
      </c>
      <c r="K203" s="213">
        <f t="shared" si="83"/>
        <v>500000</v>
      </c>
      <c r="L203" s="213">
        <f t="shared" si="83"/>
        <v>343950</v>
      </c>
      <c r="M203" s="213">
        <f t="shared" si="83"/>
        <v>293319</v>
      </c>
      <c r="N203" s="213">
        <f t="shared" si="83"/>
        <v>308118</v>
      </c>
      <c r="O203" s="213">
        <f t="shared" si="83"/>
        <v>223361</v>
      </c>
      <c r="P203" s="213">
        <f t="shared" si="83"/>
        <v>39063</v>
      </c>
      <c r="Q203" s="213">
        <f t="shared" si="83"/>
        <v>555234</v>
      </c>
      <c r="R203" s="213">
        <f t="shared" si="83"/>
        <v>571891</v>
      </c>
      <c r="S203" s="213">
        <f t="shared" si="83"/>
        <v>589048</v>
      </c>
      <c r="T203" s="213">
        <f t="shared" si="83"/>
        <v>606720</v>
      </c>
      <c r="U203" s="213">
        <f t="shared" si="83"/>
        <v>624921</v>
      </c>
      <c r="V203" s="213" t="str">
        <f t="shared" si="83"/>
        <v/>
      </c>
      <c r="W203" s="213" t="str">
        <f t="shared" si="83"/>
        <v/>
      </c>
      <c r="X203" s="213" t="str">
        <f t="shared" si="83"/>
        <v/>
      </c>
      <c r="Y203" s="213" t="str">
        <f t="shared" si="83"/>
        <v/>
      </c>
      <c r="Z203" s="213" t="str">
        <f t="shared" si="83"/>
        <v/>
      </c>
      <c r="AA203" s="213" t="str">
        <f t="shared" si="83"/>
        <v/>
      </c>
      <c r="AB203" s="213" t="str">
        <f t="shared" si="83"/>
        <v/>
      </c>
      <c r="AC203" s="213" t="str">
        <f t="shared" si="83"/>
        <v/>
      </c>
      <c r="AD203" s="213" t="str">
        <f t="shared" si="83"/>
        <v/>
      </c>
      <c r="AE203" s="213" t="str">
        <f t="shared" si="83"/>
        <v/>
      </c>
      <c r="AF203" s="213" t="str">
        <f t="shared" si="83"/>
        <v/>
      </c>
      <c r="AG203" s="213" t="str">
        <f t="shared" si="83"/>
        <v/>
      </c>
      <c r="AH203" s="213" t="str">
        <f t="shared" si="83"/>
        <v/>
      </c>
      <c r="AI203" s="213" t="str">
        <f t="shared" si="83"/>
        <v/>
      </c>
      <c r="AJ203" s="213" t="str">
        <f t="shared" si="83"/>
        <v/>
      </c>
      <c r="AK203" s="213" t="str">
        <f t="shared" si="83"/>
        <v/>
      </c>
      <c r="AL203" s="214" t="str">
        <f t="shared" si="83"/>
        <v/>
      </c>
      <c r="AM203" s="175"/>
    </row>
    <row r="204" spans="2:39" ht="15" hidden="1" outlineLevel="2">
      <c r="B204" s="189"/>
      <c r="C204" s="189"/>
      <c r="D204" s="197" t="s">
        <v>393</v>
      </c>
      <c r="E204" s="395" t="s">
        <v>426</v>
      </c>
      <c r="F204" s="266">
        <f t="shared" si="78"/>
        <v>-1299793.3899999999</v>
      </c>
      <c r="G204" s="266">
        <f t="shared" si="79"/>
        <v>955590.8</v>
      </c>
      <c r="H204" s="267">
        <f t="shared" si="80"/>
        <v>-157021.83999999985</v>
      </c>
      <c r="I204" s="212">
        <f t="shared" ref="I204:AL204" si="84">+IF(I$214=0,"",I217-H217)</f>
        <v>-896672.91000000015</v>
      </c>
      <c r="J204" s="213">
        <f t="shared" si="84"/>
        <v>-1334299.25</v>
      </c>
      <c r="K204" s="213">
        <f t="shared" si="84"/>
        <v>0</v>
      </c>
      <c r="L204" s="213">
        <f t="shared" si="84"/>
        <v>0</v>
      </c>
      <c r="M204" s="213">
        <f t="shared" si="84"/>
        <v>0</v>
      </c>
      <c r="N204" s="213">
        <f t="shared" si="84"/>
        <v>0</v>
      </c>
      <c r="O204" s="213">
        <f t="shared" si="84"/>
        <v>0</v>
      </c>
      <c r="P204" s="213">
        <f t="shared" si="84"/>
        <v>0</v>
      </c>
      <c r="Q204" s="213">
        <f t="shared" si="84"/>
        <v>0</v>
      </c>
      <c r="R204" s="213">
        <f t="shared" si="84"/>
        <v>0</v>
      </c>
      <c r="S204" s="213">
        <f t="shared" si="84"/>
        <v>0</v>
      </c>
      <c r="T204" s="213">
        <f t="shared" si="84"/>
        <v>0</v>
      </c>
      <c r="U204" s="213">
        <f t="shared" si="84"/>
        <v>0</v>
      </c>
      <c r="V204" s="213" t="str">
        <f t="shared" si="84"/>
        <v/>
      </c>
      <c r="W204" s="213" t="str">
        <f t="shared" si="84"/>
        <v/>
      </c>
      <c r="X204" s="213" t="str">
        <f t="shared" si="84"/>
        <v/>
      </c>
      <c r="Y204" s="213" t="str">
        <f t="shared" si="84"/>
        <v/>
      </c>
      <c r="Z204" s="213" t="str">
        <f t="shared" si="84"/>
        <v/>
      </c>
      <c r="AA204" s="213" t="str">
        <f t="shared" si="84"/>
        <v/>
      </c>
      <c r="AB204" s="213" t="str">
        <f t="shared" si="84"/>
        <v/>
      </c>
      <c r="AC204" s="213" t="str">
        <f t="shared" si="84"/>
        <v/>
      </c>
      <c r="AD204" s="213" t="str">
        <f t="shared" si="84"/>
        <v/>
      </c>
      <c r="AE204" s="213" t="str">
        <f t="shared" si="84"/>
        <v/>
      </c>
      <c r="AF204" s="213" t="str">
        <f t="shared" si="84"/>
        <v/>
      </c>
      <c r="AG204" s="213" t="str">
        <f t="shared" si="84"/>
        <v/>
      </c>
      <c r="AH204" s="213" t="str">
        <f t="shared" si="84"/>
        <v/>
      </c>
      <c r="AI204" s="213" t="str">
        <f t="shared" si="84"/>
        <v/>
      </c>
      <c r="AJ204" s="213" t="str">
        <f t="shared" si="84"/>
        <v/>
      </c>
      <c r="AK204" s="213" t="str">
        <f t="shared" si="84"/>
        <v/>
      </c>
      <c r="AL204" s="214" t="str">
        <f t="shared" si="84"/>
        <v/>
      </c>
      <c r="AM204" s="175"/>
    </row>
    <row r="205" spans="2:39" ht="24" hidden="1" outlineLevel="2">
      <c r="B205" s="189"/>
      <c r="C205" s="189"/>
      <c r="D205" s="197" t="s">
        <v>394</v>
      </c>
      <c r="E205" s="395" t="s">
        <v>426</v>
      </c>
      <c r="F205" s="266">
        <f t="shared" si="78"/>
        <v>-1331945.5999999996</v>
      </c>
      <c r="G205" s="266">
        <f t="shared" si="79"/>
        <v>820681</v>
      </c>
      <c r="H205" s="267">
        <f t="shared" si="80"/>
        <v>-92747.619999999646</v>
      </c>
      <c r="I205" s="212">
        <f t="shared" ref="I205:AL205" si="85">+IF(I$214=0,"",I218-H218)</f>
        <v>-2320947.1300000004</v>
      </c>
      <c r="J205" s="213">
        <f t="shared" si="85"/>
        <v>-14299.25</v>
      </c>
      <c r="K205" s="213">
        <f t="shared" si="85"/>
        <v>0</v>
      </c>
      <c r="L205" s="213">
        <f t="shared" si="85"/>
        <v>0</v>
      </c>
      <c r="M205" s="213">
        <f t="shared" si="85"/>
        <v>0</v>
      </c>
      <c r="N205" s="213">
        <f t="shared" si="85"/>
        <v>0</v>
      </c>
      <c r="O205" s="213">
        <f t="shared" si="85"/>
        <v>0</v>
      </c>
      <c r="P205" s="213">
        <f t="shared" si="85"/>
        <v>0</v>
      </c>
      <c r="Q205" s="213">
        <f t="shared" si="85"/>
        <v>0</v>
      </c>
      <c r="R205" s="213">
        <f t="shared" si="85"/>
        <v>0</v>
      </c>
      <c r="S205" s="213">
        <f t="shared" si="85"/>
        <v>0</v>
      </c>
      <c r="T205" s="213">
        <f t="shared" si="85"/>
        <v>0</v>
      </c>
      <c r="U205" s="213">
        <f t="shared" si="85"/>
        <v>0</v>
      </c>
      <c r="V205" s="213" t="str">
        <f t="shared" si="85"/>
        <v/>
      </c>
      <c r="W205" s="213" t="str">
        <f t="shared" si="85"/>
        <v/>
      </c>
      <c r="X205" s="213" t="str">
        <f t="shared" si="85"/>
        <v/>
      </c>
      <c r="Y205" s="213" t="str">
        <f t="shared" si="85"/>
        <v/>
      </c>
      <c r="Z205" s="213" t="str">
        <f t="shared" si="85"/>
        <v/>
      </c>
      <c r="AA205" s="213" t="str">
        <f t="shared" si="85"/>
        <v/>
      </c>
      <c r="AB205" s="213" t="str">
        <f t="shared" si="85"/>
        <v/>
      </c>
      <c r="AC205" s="213" t="str">
        <f t="shared" si="85"/>
        <v/>
      </c>
      <c r="AD205" s="213" t="str">
        <f t="shared" si="85"/>
        <v/>
      </c>
      <c r="AE205" s="213" t="str">
        <f t="shared" si="85"/>
        <v/>
      </c>
      <c r="AF205" s="213" t="str">
        <f t="shared" si="85"/>
        <v/>
      </c>
      <c r="AG205" s="213" t="str">
        <f t="shared" si="85"/>
        <v/>
      </c>
      <c r="AH205" s="213" t="str">
        <f t="shared" si="85"/>
        <v/>
      </c>
      <c r="AI205" s="213" t="str">
        <f t="shared" si="85"/>
        <v/>
      </c>
      <c r="AJ205" s="213" t="str">
        <f t="shared" si="85"/>
        <v/>
      </c>
      <c r="AK205" s="213" t="str">
        <f t="shared" si="85"/>
        <v/>
      </c>
      <c r="AL205" s="214" t="str">
        <f t="shared" si="85"/>
        <v/>
      </c>
      <c r="AM205" s="175"/>
    </row>
    <row r="206" spans="2:39" ht="15" hidden="1" outlineLevel="2">
      <c r="B206" s="189"/>
      <c r="C206" s="189"/>
      <c r="D206" s="198" t="s">
        <v>36</v>
      </c>
      <c r="E206" s="396" t="s">
        <v>426</v>
      </c>
      <c r="F206" s="268">
        <f t="shared" si="78"/>
        <v>32152.209999999992</v>
      </c>
      <c r="G206" s="268">
        <f t="shared" si="79"/>
        <v>134909.79999999999</v>
      </c>
      <c r="H206" s="269">
        <f t="shared" si="80"/>
        <v>-64274.22</v>
      </c>
      <c r="I206" s="215">
        <f t="shared" ref="I206:AL206" si="86">+IF(I$214=0,"",I219-H219)</f>
        <v>1424274.22</v>
      </c>
      <c r="J206" s="216">
        <f t="shared" si="86"/>
        <v>-1320000</v>
      </c>
      <c r="K206" s="216">
        <f t="shared" si="86"/>
        <v>0</v>
      </c>
      <c r="L206" s="216">
        <f t="shared" si="86"/>
        <v>0</v>
      </c>
      <c r="M206" s="216">
        <f t="shared" si="86"/>
        <v>0</v>
      </c>
      <c r="N206" s="216">
        <f t="shared" si="86"/>
        <v>0</v>
      </c>
      <c r="O206" s="216">
        <f t="shared" si="86"/>
        <v>0</v>
      </c>
      <c r="P206" s="216">
        <f t="shared" si="86"/>
        <v>0</v>
      </c>
      <c r="Q206" s="216">
        <f t="shared" si="86"/>
        <v>0</v>
      </c>
      <c r="R206" s="216">
        <f t="shared" si="86"/>
        <v>0</v>
      </c>
      <c r="S206" s="216">
        <f t="shared" si="86"/>
        <v>0</v>
      </c>
      <c r="T206" s="216">
        <f t="shared" si="86"/>
        <v>0</v>
      </c>
      <c r="U206" s="216">
        <f t="shared" si="86"/>
        <v>0</v>
      </c>
      <c r="V206" s="216" t="str">
        <f t="shared" si="86"/>
        <v/>
      </c>
      <c r="W206" s="216" t="str">
        <f t="shared" si="86"/>
        <v/>
      </c>
      <c r="X206" s="216" t="str">
        <f t="shared" si="86"/>
        <v/>
      </c>
      <c r="Y206" s="216" t="str">
        <f t="shared" si="86"/>
        <v/>
      </c>
      <c r="Z206" s="216" t="str">
        <f t="shared" si="86"/>
        <v/>
      </c>
      <c r="AA206" s="216" t="str">
        <f t="shared" si="86"/>
        <v/>
      </c>
      <c r="AB206" s="216" t="str">
        <f t="shared" si="86"/>
        <v/>
      </c>
      <c r="AC206" s="216" t="str">
        <f t="shared" si="86"/>
        <v/>
      </c>
      <c r="AD206" s="216" t="str">
        <f t="shared" si="86"/>
        <v/>
      </c>
      <c r="AE206" s="216" t="str">
        <f t="shared" si="86"/>
        <v/>
      </c>
      <c r="AF206" s="216" t="str">
        <f t="shared" si="86"/>
        <v/>
      </c>
      <c r="AG206" s="216" t="str">
        <f t="shared" si="86"/>
        <v/>
      </c>
      <c r="AH206" s="216" t="str">
        <f t="shared" si="86"/>
        <v/>
      </c>
      <c r="AI206" s="216" t="str">
        <f t="shared" si="86"/>
        <v/>
      </c>
      <c r="AJ206" s="216" t="str">
        <f t="shared" si="86"/>
        <v/>
      </c>
      <c r="AK206" s="216" t="str">
        <f t="shared" si="86"/>
        <v/>
      </c>
      <c r="AL206" s="217" t="str">
        <f t="shared" si="86"/>
        <v/>
      </c>
      <c r="AM206" s="175"/>
    </row>
    <row r="207" spans="2:39" hidden="1" outlineLevel="2">
      <c r="B207" s="272"/>
      <c r="C207" s="272"/>
      <c r="D207" s="190" t="s">
        <v>21</v>
      </c>
      <c r="E207" s="393" t="s">
        <v>426</v>
      </c>
      <c r="F207" s="259">
        <f t="shared" ref="F207:F212" si="87">+IF(F$220=0,"",F220-E220)</f>
        <v>3502179.1900000013</v>
      </c>
      <c r="G207" s="259">
        <f t="shared" ref="G207:G212" si="88">+IF(G$220=0,"",G220-F220)</f>
        <v>-1610020.0799999982</v>
      </c>
      <c r="H207" s="260">
        <f t="shared" ref="H207:H212" si="89">+IF(H$220=0,"",H220-G220)</f>
        <v>-2248108.8200000003</v>
      </c>
      <c r="I207" s="280">
        <f t="shared" ref="I207:I212" si="90">+IF(I$220=0,"",I220-H220)</f>
        <v>1912110.6499999985</v>
      </c>
      <c r="J207" s="281">
        <f t="shared" ref="J207:AL212" si="91">+IF(J$220=0,"",J220-I220)</f>
        <v>-1127545.75</v>
      </c>
      <c r="K207" s="281">
        <f t="shared" si="91"/>
        <v>-1693344</v>
      </c>
      <c r="L207" s="281">
        <f t="shared" si="91"/>
        <v>43950</v>
      </c>
      <c r="M207" s="281">
        <f t="shared" si="91"/>
        <v>93319</v>
      </c>
      <c r="N207" s="281">
        <f t="shared" si="91"/>
        <v>308118</v>
      </c>
      <c r="O207" s="281">
        <f t="shared" si="91"/>
        <v>-376639</v>
      </c>
      <c r="P207" s="281">
        <f t="shared" si="91"/>
        <v>-60937</v>
      </c>
      <c r="Q207" s="281">
        <f t="shared" si="91"/>
        <v>655234</v>
      </c>
      <c r="R207" s="281">
        <f t="shared" si="91"/>
        <v>441891</v>
      </c>
      <c r="S207" s="281">
        <f t="shared" si="91"/>
        <v>409048</v>
      </c>
      <c r="T207" s="281">
        <f t="shared" si="91"/>
        <v>568720</v>
      </c>
      <c r="U207" s="281">
        <f t="shared" si="91"/>
        <v>1429921</v>
      </c>
      <c r="V207" s="281" t="str">
        <f t="shared" si="91"/>
        <v/>
      </c>
      <c r="W207" s="281" t="str">
        <f t="shared" si="91"/>
        <v/>
      </c>
      <c r="X207" s="281" t="str">
        <f t="shared" si="91"/>
        <v/>
      </c>
      <c r="Y207" s="281" t="str">
        <f t="shared" si="91"/>
        <v/>
      </c>
      <c r="Z207" s="281" t="str">
        <f t="shared" si="91"/>
        <v/>
      </c>
      <c r="AA207" s="281" t="str">
        <f t="shared" si="91"/>
        <v/>
      </c>
      <c r="AB207" s="281" t="str">
        <f t="shared" si="91"/>
        <v/>
      </c>
      <c r="AC207" s="281" t="str">
        <f t="shared" si="91"/>
        <v/>
      </c>
      <c r="AD207" s="281" t="str">
        <f t="shared" si="91"/>
        <v/>
      </c>
      <c r="AE207" s="281" t="str">
        <f t="shared" si="91"/>
        <v/>
      </c>
      <c r="AF207" s="281" t="str">
        <f t="shared" si="91"/>
        <v/>
      </c>
      <c r="AG207" s="281" t="str">
        <f t="shared" si="91"/>
        <v/>
      </c>
      <c r="AH207" s="281" t="str">
        <f t="shared" si="91"/>
        <v/>
      </c>
      <c r="AI207" s="281" t="str">
        <f t="shared" si="91"/>
        <v/>
      </c>
      <c r="AJ207" s="281" t="str">
        <f t="shared" si="91"/>
        <v/>
      </c>
      <c r="AK207" s="281" t="str">
        <f t="shared" si="91"/>
        <v/>
      </c>
      <c r="AL207" s="282" t="str">
        <f t="shared" si="91"/>
        <v/>
      </c>
      <c r="AM207" s="276"/>
    </row>
    <row r="208" spans="2:39" ht="15" hidden="1" outlineLevel="2">
      <c r="B208" s="189"/>
      <c r="C208" s="189"/>
      <c r="D208" s="202" t="s">
        <v>390</v>
      </c>
      <c r="E208" s="395" t="s">
        <v>426</v>
      </c>
      <c r="F208" s="266">
        <f t="shared" si="87"/>
        <v>3502179.1900000013</v>
      </c>
      <c r="G208" s="266">
        <f t="shared" si="88"/>
        <v>-1610020.0799999982</v>
      </c>
      <c r="H208" s="267">
        <f t="shared" si="89"/>
        <v>-2248108.8200000003</v>
      </c>
      <c r="I208" s="212">
        <f t="shared" si="90"/>
        <v>-956480.35000000149</v>
      </c>
      <c r="J208" s="213">
        <f t="shared" ref="J208:X208" si="92">+IF(J$220=0,"",J221-I221)</f>
        <v>-134206.75</v>
      </c>
      <c r="K208" s="213">
        <f t="shared" si="92"/>
        <v>181908</v>
      </c>
      <c r="L208" s="213">
        <f t="shared" si="92"/>
        <v>43950</v>
      </c>
      <c r="M208" s="213">
        <f t="shared" si="92"/>
        <v>93319</v>
      </c>
      <c r="N208" s="213">
        <f t="shared" si="92"/>
        <v>308118</v>
      </c>
      <c r="O208" s="213">
        <f t="shared" si="92"/>
        <v>-376639</v>
      </c>
      <c r="P208" s="213">
        <f t="shared" si="92"/>
        <v>-60937</v>
      </c>
      <c r="Q208" s="213">
        <f t="shared" si="92"/>
        <v>655234</v>
      </c>
      <c r="R208" s="213">
        <f t="shared" si="92"/>
        <v>441891</v>
      </c>
      <c r="S208" s="213">
        <f t="shared" si="92"/>
        <v>409048</v>
      </c>
      <c r="T208" s="213">
        <f t="shared" si="92"/>
        <v>568720</v>
      </c>
      <c r="U208" s="213">
        <f t="shared" si="92"/>
        <v>1429921</v>
      </c>
      <c r="V208" s="213" t="str">
        <f t="shared" si="92"/>
        <v/>
      </c>
      <c r="W208" s="213" t="str">
        <f t="shared" si="92"/>
        <v/>
      </c>
      <c r="X208" s="213" t="str">
        <f t="shared" si="92"/>
        <v/>
      </c>
      <c r="Y208" s="213" t="str">
        <f t="shared" si="91"/>
        <v/>
      </c>
      <c r="Z208" s="213" t="str">
        <f t="shared" si="91"/>
        <v/>
      </c>
      <c r="AA208" s="213" t="str">
        <f t="shared" si="91"/>
        <v/>
      </c>
      <c r="AB208" s="213" t="str">
        <f t="shared" si="91"/>
        <v/>
      </c>
      <c r="AC208" s="213" t="str">
        <f t="shared" si="91"/>
        <v/>
      </c>
      <c r="AD208" s="213" t="str">
        <f t="shared" si="91"/>
        <v/>
      </c>
      <c r="AE208" s="213" t="str">
        <f t="shared" si="91"/>
        <v/>
      </c>
      <c r="AF208" s="213" t="str">
        <f t="shared" si="91"/>
        <v/>
      </c>
      <c r="AG208" s="213" t="str">
        <f t="shared" si="91"/>
        <v/>
      </c>
      <c r="AH208" s="213" t="str">
        <f t="shared" si="91"/>
        <v/>
      </c>
      <c r="AI208" s="213" t="str">
        <f t="shared" si="91"/>
        <v/>
      </c>
      <c r="AJ208" s="213" t="str">
        <f t="shared" si="91"/>
        <v/>
      </c>
      <c r="AK208" s="213" t="str">
        <f t="shared" si="91"/>
        <v/>
      </c>
      <c r="AL208" s="214" t="str">
        <f t="shared" si="91"/>
        <v/>
      </c>
      <c r="AM208" s="175"/>
    </row>
    <row r="209" spans="2:39" hidden="1" outlineLevel="2">
      <c r="B209" s="272"/>
      <c r="C209" s="272"/>
      <c r="D209" s="203" t="s">
        <v>37</v>
      </c>
      <c r="E209" s="397" t="s">
        <v>426</v>
      </c>
      <c r="F209" s="270">
        <f t="shared" si="87"/>
        <v>-62501.11999999918</v>
      </c>
      <c r="G209" s="270">
        <f t="shared" si="88"/>
        <v>1704340.4399999995</v>
      </c>
      <c r="H209" s="271">
        <f t="shared" si="89"/>
        <v>-359264.3900000006</v>
      </c>
      <c r="I209" s="283">
        <f t="shared" si="90"/>
        <v>1414853.9700000007</v>
      </c>
      <c r="J209" s="284">
        <f t="shared" si="91"/>
        <v>-608134.5</v>
      </c>
      <c r="K209" s="284">
        <f t="shared" si="91"/>
        <v>690</v>
      </c>
      <c r="L209" s="284">
        <f t="shared" si="91"/>
        <v>72860</v>
      </c>
      <c r="M209" s="284">
        <f t="shared" si="91"/>
        <v>187396</v>
      </c>
      <c r="N209" s="284">
        <f t="shared" si="91"/>
        <v>207308</v>
      </c>
      <c r="O209" s="284">
        <f t="shared" si="91"/>
        <v>320607</v>
      </c>
      <c r="P209" s="284">
        <f t="shared" si="91"/>
        <v>198305</v>
      </c>
      <c r="Q209" s="284">
        <f t="shared" si="91"/>
        <v>-293585</v>
      </c>
      <c r="R209" s="284">
        <f t="shared" si="91"/>
        <v>426946</v>
      </c>
      <c r="S209" s="284">
        <f t="shared" si="91"/>
        <v>433915</v>
      </c>
      <c r="T209" s="284">
        <f t="shared" si="91"/>
        <v>439334</v>
      </c>
      <c r="U209" s="284">
        <f t="shared" si="91"/>
        <v>452212</v>
      </c>
      <c r="V209" s="284" t="str">
        <f t="shared" si="91"/>
        <v/>
      </c>
      <c r="W209" s="284" t="str">
        <f t="shared" si="91"/>
        <v/>
      </c>
      <c r="X209" s="284" t="str">
        <f t="shared" si="91"/>
        <v/>
      </c>
      <c r="Y209" s="284" t="str">
        <f t="shared" si="91"/>
        <v/>
      </c>
      <c r="Z209" s="284" t="str">
        <f t="shared" si="91"/>
        <v/>
      </c>
      <c r="AA209" s="284" t="str">
        <f t="shared" si="91"/>
        <v/>
      </c>
      <c r="AB209" s="284" t="str">
        <f t="shared" si="91"/>
        <v/>
      </c>
      <c r="AC209" s="284" t="str">
        <f t="shared" si="91"/>
        <v/>
      </c>
      <c r="AD209" s="284" t="str">
        <f t="shared" si="91"/>
        <v/>
      </c>
      <c r="AE209" s="284" t="str">
        <f t="shared" si="91"/>
        <v/>
      </c>
      <c r="AF209" s="284" t="str">
        <f t="shared" si="91"/>
        <v/>
      </c>
      <c r="AG209" s="284" t="str">
        <f t="shared" si="91"/>
        <v/>
      </c>
      <c r="AH209" s="284" t="str">
        <f t="shared" si="91"/>
        <v/>
      </c>
      <c r="AI209" s="284" t="str">
        <f t="shared" si="91"/>
        <v/>
      </c>
      <c r="AJ209" s="284" t="str">
        <f t="shared" si="91"/>
        <v/>
      </c>
      <c r="AK209" s="284" t="str">
        <f t="shared" si="91"/>
        <v/>
      </c>
      <c r="AL209" s="285" t="str">
        <f t="shared" si="91"/>
        <v/>
      </c>
      <c r="AM209" s="276"/>
    </row>
    <row r="210" spans="2:39" ht="15" hidden="1" outlineLevel="2">
      <c r="B210" s="189"/>
      <c r="C210" s="189"/>
      <c r="D210" s="197" t="s">
        <v>39</v>
      </c>
      <c r="E210" s="395" t="s">
        <v>426</v>
      </c>
      <c r="F210" s="266">
        <f t="shared" si="87"/>
        <v>-62501.11999999918</v>
      </c>
      <c r="G210" s="266">
        <f t="shared" si="88"/>
        <v>1704340.4399999995</v>
      </c>
      <c r="H210" s="267">
        <f t="shared" si="89"/>
        <v>-359264.3900000006</v>
      </c>
      <c r="I210" s="212">
        <f t="shared" si="90"/>
        <v>1013382.9700000007</v>
      </c>
      <c r="J210" s="213">
        <f t="shared" si="91"/>
        <v>-229673.5</v>
      </c>
      <c r="K210" s="213">
        <f t="shared" si="91"/>
        <v>23700</v>
      </c>
      <c r="L210" s="213">
        <f t="shared" si="91"/>
        <v>72860</v>
      </c>
      <c r="M210" s="213">
        <f t="shared" si="91"/>
        <v>187396</v>
      </c>
      <c r="N210" s="213">
        <f t="shared" si="91"/>
        <v>207308</v>
      </c>
      <c r="O210" s="213">
        <f t="shared" si="91"/>
        <v>320607</v>
      </c>
      <c r="P210" s="213">
        <f t="shared" si="91"/>
        <v>198305</v>
      </c>
      <c r="Q210" s="213">
        <f t="shared" si="91"/>
        <v>-293585</v>
      </c>
      <c r="R210" s="213">
        <f t="shared" si="91"/>
        <v>426946</v>
      </c>
      <c r="S210" s="213">
        <f t="shared" si="91"/>
        <v>433915</v>
      </c>
      <c r="T210" s="213">
        <f t="shared" si="91"/>
        <v>439334</v>
      </c>
      <c r="U210" s="213">
        <f t="shared" si="91"/>
        <v>452212</v>
      </c>
      <c r="V210" s="213" t="str">
        <f t="shared" si="91"/>
        <v/>
      </c>
      <c r="W210" s="213" t="str">
        <f t="shared" si="91"/>
        <v/>
      </c>
      <c r="X210" s="213" t="str">
        <f t="shared" si="91"/>
        <v/>
      </c>
      <c r="Y210" s="213" t="str">
        <f t="shared" si="91"/>
        <v/>
      </c>
      <c r="Z210" s="213" t="str">
        <f t="shared" si="91"/>
        <v/>
      </c>
      <c r="AA210" s="213" t="str">
        <f t="shared" si="91"/>
        <v/>
      </c>
      <c r="AB210" s="213" t="str">
        <f t="shared" si="91"/>
        <v/>
      </c>
      <c r="AC210" s="213" t="str">
        <f t="shared" si="91"/>
        <v/>
      </c>
      <c r="AD210" s="213" t="str">
        <f t="shared" si="91"/>
        <v/>
      </c>
      <c r="AE210" s="213" t="str">
        <f t="shared" si="91"/>
        <v/>
      </c>
      <c r="AF210" s="213" t="str">
        <f t="shared" si="91"/>
        <v/>
      </c>
      <c r="AG210" s="213" t="str">
        <f t="shared" si="91"/>
        <v/>
      </c>
      <c r="AH210" s="213" t="str">
        <f t="shared" si="91"/>
        <v/>
      </c>
      <c r="AI210" s="213" t="str">
        <f t="shared" si="91"/>
        <v/>
      </c>
      <c r="AJ210" s="213" t="str">
        <f t="shared" si="91"/>
        <v/>
      </c>
      <c r="AK210" s="213" t="str">
        <f t="shared" si="91"/>
        <v/>
      </c>
      <c r="AL210" s="214" t="str">
        <f t="shared" si="91"/>
        <v/>
      </c>
      <c r="AM210" s="175"/>
    </row>
    <row r="211" spans="2:39" ht="15" hidden="1" outlineLevel="2">
      <c r="B211" s="189"/>
      <c r="C211" s="189"/>
      <c r="D211" s="197" t="s">
        <v>38</v>
      </c>
      <c r="E211" s="395" t="s">
        <v>426</v>
      </c>
      <c r="F211" s="266">
        <f t="shared" si="87"/>
        <v>5923327</v>
      </c>
      <c r="G211" s="266">
        <f t="shared" si="88"/>
        <v>630063.08999999985</v>
      </c>
      <c r="H211" s="267">
        <f t="shared" si="89"/>
        <v>-100000</v>
      </c>
      <c r="I211" s="212">
        <f t="shared" si="90"/>
        <v>328897.96999999974</v>
      </c>
      <c r="J211" s="213">
        <f t="shared" si="91"/>
        <v>-23480.05999999959</v>
      </c>
      <c r="K211" s="213">
        <f t="shared" si="91"/>
        <v>202765</v>
      </c>
      <c r="L211" s="213">
        <f t="shared" si="91"/>
        <v>208847</v>
      </c>
      <c r="M211" s="213">
        <f t="shared" si="91"/>
        <v>215112</v>
      </c>
      <c r="N211" s="213">
        <f t="shared" si="91"/>
        <v>221566</v>
      </c>
      <c r="O211" s="213">
        <f t="shared" si="91"/>
        <v>228213</v>
      </c>
      <c r="P211" s="213">
        <f t="shared" si="91"/>
        <v>235060</v>
      </c>
      <c r="Q211" s="213">
        <f t="shared" si="91"/>
        <v>242111</v>
      </c>
      <c r="R211" s="213">
        <f t="shared" si="91"/>
        <v>249374</v>
      </c>
      <c r="S211" s="213">
        <f t="shared" si="91"/>
        <v>256856</v>
      </c>
      <c r="T211" s="213">
        <f t="shared" si="91"/>
        <v>264561</v>
      </c>
      <c r="U211" s="213">
        <f t="shared" si="91"/>
        <v>272498</v>
      </c>
      <c r="V211" s="213" t="str">
        <f t="shared" si="91"/>
        <v/>
      </c>
      <c r="W211" s="213" t="str">
        <f t="shared" si="91"/>
        <v/>
      </c>
      <c r="X211" s="213" t="str">
        <f t="shared" si="91"/>
        <v/>
      </c>
      <c r="Y211" s="213" t="str">
        <f t="shared" si="91"/>
        <v/>
      </c>
      <c r="Z211" s="213" t="str">
        <f t="shared" si="91"/>
        <v/>
      </c>
      <c r="AA211" s="213" t="str">
        <f t="shared" si="91"/>
        <v/>
      </c>
      <c r="AB211" s="213" t="str">
        <f t="shared" si="91"/>
        <v/>
      </c>
      <c r="AC211" s="213" t="str">
        <f t="shared" si="91"/>
        <v/>
      </c>
      <c r="AD211" s="213" t="str">
        <f t="shared" si="91"/>
        <v/>
      </c>
      <c r="AE211" s="213" t="str">
        <f t="shared" si="91"/>
        <v/>
      </c>
      <c r="AF211" s="213" t="str">
        <f t="shared" si="91"/>
        <v/>
      </c>
      <c r="AG211" s="213" t="str">
        <f t="shared" si="91"/>
        <v/>
      </c>
      <c r="AH211" s="213" t="str">
        <f t="shared" si="91"/>
        <v/>
      </c>
      <c r="AI211" s="213" t="str">
        <f t="shared" si="91"/>
        <v/>
      </c>
      <c r="AJ211" s="213" t="str">
        <f t="shared" si="91"/>
        <v/>
      </c>
      <c r="AK211" s="213" t="str">
        <f t="shared" si="91"/>
        <v/>
      </c>
      <c r="AL211" s="214" t="str">
        <f t="shared" si="91"/>
        <v/>
      </c>
      <c r="AM211" s="175"/>
    </row>
    <row r="212" spans="2:39" ht="24" hidden="1" outlineLevel="2">
      <c r="B212" s="189"/>
      <c r="C212" s="189"/>
      <c r="D212" s="198" t="s">
        <v>389</v>
      </c>
      <c r="E212" s="396" t="s">
        <v>426</v>
      </c>
      <c r="F212" s="268">
        <f t="shared" si="87"/>
        <v>-6412224.3299999982</v>
      </c>
      <c r="G212" s="268">
        <f t="shared" si="88"/>
        <v>3216051.1999999993</v>
      </c>
      <c r="H212" s="269">
        <f t="shared" si="89"/>
        <v>-2862460.120000001</v>
      </c>
      <c r="I212" s="215">
        <f t="shared" si="90"/>
        <v>414490.73000000231</v>
      </c>
      <c r="J212" s="216">
        <f t="shared" si="91"/>
        <v>-380873.44000000134</v>
      </c>
      <c r="K212" s="216">
        <f t="shared" si="91"/>
        <v>-347075</v>
      </c>
      <c r="L212" s="216">
        <f t="shared" si="91"/>
        <v>-140987</v>
      </c>
      <c r="M212" s="216">
        <f t="shared" si="91"/>
        <v>-84716</v>
      </c>
      <c r="N212" s="216">
        <f t="shared" si="91"/>
        <v>-78258</v>
      </c>
      <c r="O212" s="216">
        <f t="shared" si="91"/>
        <v>28394</v>
      </c>
      <c r="P212" s="216">
        <f t="shared" si="91"/>
        <v>-64755</v>
      </c>
      <c r="Q212" s="216">
        <f t="shared" si="91"/>
        <v>-557696</v>
      </c>
      <c r="R212" s="216">
        <f t="shared" si="91"/>
        <v>149572</v>
      </c>
      <c r="S212" s="216">
        <f t="shared" si="91"/>
        <v>157059</v>
      </c>
      <c r="T212" s="216">
        <f t="shared" si="91"/>
        <v>164773</v>
      </c>
      <c r="U212" s="216">
        <f t="shared" si="91"/>
        <v>140764</v>
      </c>
      <c r="V212" s="216" t="str">
        <f t="shared" si="91"/>
        <v/>
      </c>
      <c r="W212" s="216" t="str">
        <f t="shared" si="91"/>
        <v/>
      </c>
      <c r="X212" s="216" t="str">
        <f t="shared" si="91"/>
        <v/>
      </c>
      <c r="Y212" s="216" t="str">
        <f t="shared" si="91"/>
        <v/>
      </c>
      <c r="Z212" s="216" t="str">
        <f t="shared" si="91"/>
        <v/>
      </c>
      <c r="AA212" s="216" t="str">
        <f t="shared" si="91"/>
        <v/>
      </c>
      <c r="AB212" s="216" t="str">
        <f t="shared" si="91"/>
        <v/>
      </c>
      <c r="AC212" s="216" t="str">
        <f t="shared" si="91"/>
        <v/>
      </c>
      <c r="AD212" s="216" t="str">
        <f t="shared" si="91"/>
        <v/>
      </c>
      <c r="AE212" s="216" t="str">
        <f t="shared" si="91"/>
        <v/>
      </c>
      <c r="AF212" s="216" t="str">
        <f t="shared" si="91"/>
        <v/>
      </c>
      <c r="AG212" s="216" t="str">
        <f t="shared" si="91"/>
        <v/>
      </c>
      <c r="AH212" s="216" t="str">
        <f t="shared" si="91"/>
        <v/>
      </c>
      <c r="AI212" s="216" t="str">
        <f t="shared" si="91"/>
        <v/>
      </c>
      <c r="AJ212" s="216" t="str">
        <f t="shared" si="91"/>
        <v/>
      </c>
      <c r="AK212" s="216" t="str">
        <f t="shared" si="91"/>
        <v/>
      </c>
      <c r="AL212" s="217" t="str">
        <f t="shared" si="91"/>
        <v/>
      </c>
      <c r="AM212" s="175"/>
    </row>
    <row r="213" spans="2:39" ht="15" hidden="1" outlineLevel="1">
      <c r="B213" s="189"/>
      <c r="C213" s="189"/>
      <c r="D213" s="304" t="s">
        <v>441</v>
      </c>
      <c r="E213" s="207"/>
      <c r="F213" s="207"/>
      <c r="G213" s="207"/>
      <c r="H213" s="207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175"/>
    </row>
    <row r="214" spans="2:39" hidden="1" outlineLevel="2">
      <c r="B214" s="272"/>
      <c r="C214" s="272"/>
      <c r="D214" s="190" t="s">
        <v>26</v>
      </c>
      <c r="E214" s="209">
        <f>+E5</f>
        <v>16360657.9</v>
      </c>
      <c r="F214" s="210">
        <f>+F5</f>
        <v>15865865.16</v>
      </c>
      <c r="G214" s="210">
        <f>+G5</f>
        <v>18420868.920000002</v>
      </c>
      <c r="H214" s="211">
        <f>+H5</f>
        <v>18510610.399999999</v>
      </c>
      <c r="I214" s="280">
        <f t="shared" ref="I214:AK214" si="93">+I5</f>
        <v>19073889.75</v>
      </c>
      <c r="J214" s="281">
        <f t="shared" si="93"/>
        <v>20250344</v>
      </c>
      <c r="K214" s="281">
        <f t="shared" si="93"/>
        <v>17600000</v>
      </c>
      <c r="L214" s="281">
        <f t="shared" si="93"/>
        <v>17943950</v>
      </c>
      <c r="M214" s="281">
        <f t="shared" si="93"/>
        <v>18237269</v>
      </c>
      <c r="N214" s="281">
        <f t="shared" si="93"/>
        <v>18545387</v>
      </c>
      <c r="O214" s="281">
        <f t="shared" si="93"/>
        <v>18768748</v>
      </c>
      <c r="P214" s="281">
        <f t="shared" si="93"/>
        <v>18807811</v>
      </c>
      <c r="Q214" s="281">
        <f t="shared" si="93"/>
        <v>19363045</v>
      </c>
      <c r="R214" s="281">
        <f t="shared" si="93"/>
        <v>19934936</v>
      </c>
      <c r="S214" s="281">
        <f t="shared" si="93"/>
        <v>20523984</v>
      </c>
      <c r="T214" s="281">
        <f t="shared" si="93"/>
        <v>21130704</v>
      </c>
      <c r="U214" s="281">
        <f t="shared" si="93"/>
        <v>21755625</v>
      </c>
      <c r="V214" s="281">
        <f t="shared" si="93"/>
        <v>0</v>
      </c>
      <c r="W214" s="281">
        <f t="shared" si="93"/>
        <v>0</v>
      </c>
      <c r="X214" s="281">
        <f t="shared" si="93"/>
        <v>0</v>
      </c>
      <c r="Y214" s="281">
        <f t="shared" si="93"/>
        <v>0</v>
      </c>
      <c r="Z214" s="281">
        <f t="shared" si="93"/>
        <v>0</v>
      </c>
      <c r="AA214" s="281">
        <f t="shared" si="93"/>
        <v>0</v>
      </c>
      <c r="AB214" s="281">
        <f t="shared" si="93"/>
        <v>0</v>
      </c>
      <c r="AC214" s="281">
        <f t="shared" si="93"/>
        <v>0</v>
      </c>
      <c r="AD214" s="281">
        <f t="shared" si="93"/>
        <v>0</v>
      </c>
      <c r="AE214" s="281">
        <f t="shared" si="93"/>
        <v>0</v>
      </c>
      <c r="AF214" s="281">
        <f t="shared" si="93"/>
        <v>0</v>
      </c>
      <c r="AG214" s="281">
        <f t="shared" si="93"/>
        <v>0</v>
      </c>
      <c r="AH214" s="281">
        <f t="shared" si="93"/>
        <v>0</v>
      </c>
      <c r="AI214" s="281">
        <f t="shared" si="93"/>
        <v>0</v>
      </c>
      <c r="AJ214" s="281">
        <f t="shared" si="93"/>
        <v>0</v>
      </c>
      <c r="AK214" s="281">
        <f t="shared" si="93"/>
        <v>0</v>
      </c>
      <c r="AL214" s="282">
        <f>+AL5</f>
        <v>0</v>
      </c>
      <c r="AM214" s="276"/>
    </row>
    <row r="215" spans="2:39" ht="15" hidden="1" outlineLevel="2">
      <c r="B215" s="189"/>
      <c r="C215" s="189"/>
      <c r="D215" s="193" t="s">
        <v>391</v>
      </c>
      <c r="E215" s="218">
        <f>+(E5-E72-E75)</f>
        <v>16360657.9</v>
      </c>
      <c r="F215" s="219">
        <f>+(F5-F72-F75)</f>
        <v>15865865.16</v>
      </c>
      <c r="G215" s="219">
        <f>+(G5-G72-G75)</f>
        <v>18420868.920000002</v>
      </c>
      <c r="H215" s="220">
        <f>+(H5-H72-H75)</f>
        <v>18510610.399999999</v>
      </c>
      <c r="I215" s="212">
        <f>+(I5-I72-I75)</f>
        <v>17845446.75</v>
      </c>
      <c r="J215" s="213">
        <f t="shared" ref="J215:AL215" si="94">+(J5-J72-J75)</f>
        <v>17100000</v>
      </c>
      <c r="K215" s="213">
        <f t="shared" si="94"/>
        <v>17600000</v>
      </c>
      <c r="L215" s="213">
        <f t="shared" si="94"/>
        <v>17943950</v>
      </c>
      <c r="M215" s="213">
        <f t="shared" si="94"/>
        <v>18237269</v>
      </c>
      <c r="N215" s="213">
        <f t="shared" si="94"/>
        <v>18545387</v>
      </c>
      <c r="O215" s="213">
        <f t="shared" si="94"/>
        <v>18768748</v>
      </c>
      <c r="P215" s="213">
        <f t="shared" si="94"/>
        <v>18807811</v>
      </c>
      <c r="Q215" s="213">
        <f t="shared" si="94"/>
        <v>19363045</v>
      </c>
      <c r="R215" s="213">
        <f t="shared" si="94"/>
        <v>19934936</v>
      </c>
      <c r="S215" s="213">
        <f t="shared" si="94"/>
        <v>20523984</v>
      </c>
      <c r="T215" s="213">
        <f t="shared" si="94"/>
        <v>21130704</v>
      </c>
      <c r="U215" s="213">
        <f t="shared" si="94"/>
        <v>21755625</v>
      </c>
      <c r="V215" s="213">
        <f t="shared" si="94"/>
        <v>0</v>
      </c>
      <c r="W215" s="213">
        <f t="shared" si="94"/>
        <v>0</v>
      </c>
      <c r="X215" s="213">
        <f t="shared" si="94"/>
        <v>0</v>
      </c>
      <c r="Y215" s="213">
        <f t="shared" si="94"/>
        <v>0</v>
      </c>
      <c r="Z215" s="213">
        <f t="shared" si="94"/>
        <v>0</v>
      </c>
      <c r="AA215" s="213">
        <f t="shared" si="94"/>
        <v>0</v>
      </c>
      <c r="AB215" s="213">
        <f t="shared" si="94"/>
        <v>0</v>
      </c>
      <c r="AC215" s="213">
        <f t="shared" si="94"/>
        <v>0</v>
      </c>
      <c r="AD215" s="213">
        <f t="shared" si="94"/>
        <v>0</v>
      </c>
      <c r="AE215" s="213">
        <f t="shared" si="94"/>
        <v>0</v>
      </c>
      <c r="AF215" s="213">
        <f t="shared" si="94"/>
        <v>0</v>
      </c>
      <c r="AG215" s="213">
        <f t="shared" si="94"/>
        <v>0</v>
      </c>
      <c r="AH215" s="213">
        <f t="shared" si="94"/>
        <v>0</v>
      </c>
      <c r="AI215" s="213">
        <f t="shared" si="94"/>
        <v>0</v>
      </c>
      <c r="AJ215" s="213">
        <f t="shared" si="94"/>
        <v>0</v>
      </c>
      <c r="AK215" s="213">
        <f t="shared" si="94"/>
        <v>0</v>
      </c>
      <c r="AL215" s="214">
        <f t="shared" si="94"/>
        <v>0</v>
      </c>
      <c r="AM215" s="175"/>
    </row>
    <row r="216" spans="2:39" ht="15" hidden="1" outlineLevel="2">
      <c r="B216" s="189"/>
      <c r="C216" s="189"/>
      <c r="D216" s="197" t="s">
        <v>392</v>
      </c>
      <c r="E216" s="218">
        <f>+E6-E72</f>
        <v>13328461.310000001</v>
      </c>
      <c r="F216" s="219">
        <f>+F6-F72</f>
        <v>14133461.960000001</v>
      </c>
      <c r="G216" s="219">
        <f>+G6-G72</f>
        <v>15732874.92</v>
      </c>
      <c r="H216" s="220">
        <f>+H6-H72</f>
        <v>15979638.24</v>
      </c>
      <c r="I216" s="212">
        <f>+I6-I72</f>
        <v>16211147.5</v>
      </c>
      <c r="J216" s="213">
        <f t="shared" ref="J216:AL216" si="95">+J6-J72</f>
        <v>16800000</v>
      </c>
      <c r="K216" s="213">
        <f t="shared" si="95"/>
        <v>17300000</v>
      </c>
      <c r="L216" s="213">
        <f t="shared" si="95"/>
        <v>17643950</v>
      </c>
      <c r="M216" s="213">
        <f t="shared" si="95"/>
        <v>17937269</v>
      </c>
      <c r="N216" s="213">
        <f t="shared" si="95"/>
        <v>18245387</v>
      </c>
      <c r="O216" s="213">
        <f t="shared" si="95"/>
        <v>18468748</v>
      </c>
      <c r="P216" s="213">
        <f t="shared" si="95"/>
        <v>18507811</v>
      </c>
      <c r="Q216" s="213">
        <f t="shared" si="95"/>
        <v>19063045</v>
      </c>
      <c r="R216" s="213">
        <f t="shared" si="95"/>
        <v>19634936</v>
      </c>
      <c r="S216" s="213">
        <f t="shared" si="95"/>
        <v>20223984</v>
      </c>
      <c r="T216" s="213">
        <f t="shared" si="95"/>
        <v>20830704</v>
      </c>
      <c r="U216" s="213">
        <f t="shared" si="95"/>
        <v>21455625</v>
      </c>
      <c r="V216" s="213">
        <f t="shared" si="95"/>
        <v>0</v>
      </c>
      <c r="W216" s="213">
        <f t="shared" si="95"/>
        <v>0</v>
      </c>
      <c r="X216" s="213">
        <f t="shared" si="95"/>
        <v>0</v>
      </c>
      <c r="Y216" s="213">
        <f t="shared" si="95"/>
        <v>0</v>
      </c>
      <c r="Z216" s="213">
        <f t="shared" si="95"/>
        <v>0</v>
      </c>
      <c r="AA216" s="213">
        <f t="shared" si="95"/>
        <v>0</v>
      </c>
      <c r="AB216" s="213">
        <f t="shared" si="95"/>
        <v>0</v>
      </c>
      <c r="AC216" s="213">
        <f t="shared" si="95"/>
        <v>0</v>
      </c>
      <c r="AD216" s="213">
        <f t="shared" si="95"/>
        <v>0</v>
      </c>
      <c r="AE216" s="213">
        <f t="shared" si="95"/>
        <v>0</v>
      </c>
      <c r="AF216" s="213">
        <f t="shared" si="95"/>
        <v>0</v>
      </c>
      <c r="AG216" s="213">
        <f t="shared" si="95"/>
        <v>0</v>
      </c>
      <c r="AH216" s="213">
        <f t="shared" si="95"/>
        <v>0</v>
      </c>
      <c r="AI216" s="213">
        <f t="shared" si="95"/>
        <v>0</v>
      </c>
      <c r="AJ216" s="213">
        <f t="shared" si="95"/>
        <v>0</v>
      </c>
      <c r="AK216" s="213">
        <f t="shared" si="95"/>
        <v>0</v>
      </c>
      <c r="AL216" s="214">
        <f t="shared" si="95"/>
        <v>0</v>
      </c>
      <c r="AM216" s="175"/>
    </row>
    <row r="217" spans="2:39" ht="15" hidden="1" outlineLevel="2">
      <c r="B217" s="189"/>
      <c r="C217" s="189"/>
      <c r="D217" s="197" t="s">
        <v>393</v>
      </c>
      <c r="E217" s="218">
        <f>+E13-E75</f>
        <v>3032196.59</v>
      </c>
      <c r="F217" s="219">
        <f>+F13-F75</f>
        <v>1732403.2</v>
      </c>
      <c r="G217" s="219">
        <f>+G13-G75</f>
        <v>2687994</v>
      </c>
      <c r="H217" s="220">
        <f>+H13-H75</f>
        <v>2530972.16</v>
      </c>
      <c r="I217" s="212">
        <f>+I13-I75</f>
        <v>1634299.25</v>
      </c>
      <c r="J217" s="213">
        <f t="shared" ref="J217:AL217" si="96">+J13-J75</f>
        <v>300000</v>
      </c>
      <c r="K217" s="213">
        <f t="shared" si="96"/>
        <v>300000</v>
      </c>
      <c r="L217" s="213">
        <f t="shared" si="96"/>
        <v>300000</v>
      </c>
      <c r="M217" s="213">
        <f t="shared" si="96"/>
        <v>300000</v>
      </c>
      <c r="N217" s="213">
        <f t="shared" si="96"/>
        <v>300000</v>
      </c>
      <c r="O217" s="213">
        <f t="shared" si="96"/>
        <v>300000</v>
      </c>
      <c r="P217" s="213">
        <f t="shared" si="96"/>
        <v>300000</v>
      </c>
      <c r="Q217" s="213">
        <f t="shared" si="96"/>
        <v>300000</v>
      </c>
      <c r="R217" s="213">
        <f t="shared" si="96"/>
        <v>300000</v>
      </c>
      <c r="S217" s="213">
        <f t="shared" si="96"/>
        <v>300000</v>
      </c>
      <c r="T217" s="213">
        <f t="shared" si="96"/>
        <v>300000</v>
      </c>
      <c r="U217" s="213">
        <f t="shared" si="96"/>
        <v>300000</v>
      </c>
      <c r="V217" s="213">
        <f t="shared" si="96"/>
        <v>0</v>
      </c>
      <c r="W217" s="213">
        <f t="shared" si="96"/>
        <v>0</v>
      </c>
      <c r="X217" s="213">
        <f t="shared" si="96"/>
        <v>0</v>
      </c>
      <c r="Y217" s="213">
        <f t="shared" si="96"/>
        <v>0</v>
      </c>
      <c r="Z217" s="213">
        <f t="shared" si="96"/>
        <v>0</v>
      </c>
      <c r="AA217" s="213">
        <f t="shared" si="96"/>
        <v>0</v>
      </c>
      <c r="AB217" s="213">
        <f t="shared" si="96"/>
        <v>0</v>
      </c>
      <c r="AC217" s="213">
        <f t="shared" si="96"/>
        <v>0</v>
      </c>
      <c r="AD217" s="213">
        <f t="shared" si="96"/>
        <v>0</v>
      </c>
      <c r="AE217" s="213">
        <f t="shared" si="96"/>
        <v>0</v>
      </c>
      <c r="AF217" s="213">
        <f t="shared" si="96"/>
        <v>0</v>
      </c>
      <c r="AG217" s="213">
        <f t="shared" si="96"/>
        <v>0</v>
      </c>
      <c r="AH217" s="213">
        <f t="shared" si="96"/>
        <v>0</v>
      </c>
      <c r="AI217" s="213">
        <f t="shared" si="96"/>
        <v>0</v>
      </c>
      <c r="AJ217" s="213">
        <f t="shared" si="96"/>
        <v>0</v>
      </c>
      <c r="AK217" s="213">
        <f t="shared" si="96"/>
        <v>0</v>
      </c>
      <c r="AL217" s="214">
        <f t="shared" si="96"/>
        <v>0</v>
      </c>
      <c r="AM217" s="175"/>
    </row>
    <row r="218" spans="2:39" ht="24" hidden="1" outlineLevel="2">
      <c r="B218" s="189"/>
      <c r="C218" s="189"/>
      <c r="D218" s="197" t="s">
        <v>394</v>
      </c>
      <c r="E218" s="218">
        <f>+E13-E75-E14</f>
        <v>2939258.5999999996</v>
      </c>
      <c r="F218" s="219">
        <f>+F13-F75-F14</f>
        <v>1607313</v>
      </c>
      <c r="G218" s="219">
        <f>+G13-G75-G14</f>
        <v>2427994</v>
      </c>
      <c r="H218" s="220">
        <f>+H13-H75-H14</f>
        <v>2335246.3800000004</v>
      </c>
      <c r="I218" s="212">
        <f>+I13-I75-I14</f>
        <v>14299.25</v>
      </c>
      <c r="J218" s="213">
        <f t="shared" ref="J218:AL218" si="97">+J13-J75-J14</f>
        <v>0</v>
      </c>
      <c r="K218" s="213">
        <f t="shared" si="97"/>
        <v>0</v>
      </c>
      <c r="L218" s="213">
        <f t="shared" si="97"/>
        <v>0</v>
      </c>
      <c r="M218" s="213">
        <f t="shared" si="97"/>
        <v>0</v>
      </c>
      <c r="N218" s="213">
        <f t="shared" si="97"/>
        <v>0</v>
      </c>
      <c r="O218" s="213">
        <f t="shared" si="97"/>
        <v>0</v>
      </c>
      <c r="P218" s="213">
        <f t="shared" si="97"/>
        <v>0</v>
      </c>
      <c r="Q218" s="213">
        <f t="shared" si="97"/>
        <v>0</v>
      </c>
      <c r="R218" s="213">
        <f t="shared" si="97"/>
        <v>0</v>
      </c>
      <c r="S218" s="213">
        <f t="shared" si="97"/>
        <v>0</v>
      </c>
      <c r="T218" s="213">
        <f t="shared" si="97"/>
        <v>0</v>
      </c>
      <c r="U218" s="213">
        <f t="shared" si="97"/>
        <v>0</v>
      </c>
      <c r="V218" s="213">
        <f t="shared" si="97"/>
        <v>0</v>
      </c>
      <c r="W218" s="213">
        <f t="shared" si="97"/>
        <v>0</v>
      </c>
      <c r="X218" s="213">
        <f t="shared" si="97"/>
        <v>0</v>
      </c>
      <c r="Y218" s="213">
        <f t="shared" si="97"/>
        <v>0</v>
      </c>
      <c r="Z218" s="213">
        <f t="shared" si="97"/>
        <v>0</v>
      </c>
      <c r="AA218" s="213">
        <f t="shared" si="97"/>
        <v>0</v>
      </c>
      <c r="AB218" s="213">
        <f t="shared" si="97"/>
        <v>0</v>
      </c>
      <c r="AC218" s="213">
        <f t="shared" si="97"/>
        <v>0</v>
      </c>
      <c r="AD218" s="213">
        <f t="shared" si="97"/>
        <v>0</v>
      </c>
      <c r="AE218" s="213">
        <f t="shared" si="97"/>
        <v>0</v>
      </c>
      <c r="AF218" s="213">
        <f t="shared" si="97"/>
        <v>0</v>
      </c>
      <c r="AG218" s="213">
        <f t="shared" si="97"/>
        <v>0</v>
      </c>
      <c r="AH218" s="213">
        <f t="shared" si="97"/>
        <v>0</v>
      </c>
      <c r="AI218" s="213">
        <f t="shared" si="97"/>
        <v>0</v>
      </c>
      <c r="AJ218" s="213">
        <f t="shared" si="97"/>
        <v>0</v>
      </c>
      <c r="AK218" s="213">
        <f t="shared" si="97"/>
        <v>0</v>
      </c>
      <c r="AL218" s="214">
        <f t="shared" si="97"/>
        <v>0</v>
      </c>
      <c r="AM218" s="175"/>
    </row>
    <row r="219" spans="2:39" ht="15" hidden="1" outlineLevel="2">
      <c r="B219" s="189"/>
      <c r="C219" s="189"/>
      <c r="D219" s="198" t="s">
        <v>36</v>
      </c>
      <c r="E219" s="221">
        <f>+E14</f>
        <v>92937.99</v>
      </c>
      <c r="F219" s="222">
        <f>+F14</f>
        <v>125090.2</v>
      </c>
      <c r="G219" s="222">
        <f>+G14</f>
        <v>260000</v>
      </c>
      <c r="H219" s="223">
        <f>+H14</f>
        <v>195725.78</v>
      </c>
      <c r="I219" s="215">
        <f>+I14</f>
        <v>1620000</v>
      </c>
      <c r="J219" s="216">
        <f t="shared" ref="J219:AL219" si="98">+J14</f>
        <v>300000</v>
      </c>
      <c r="K219" s="216">
        <f t="shared" si="98"/>
        <v>300000</v>
      </c>
      <c r="L219" s="216">
        <f t="shared" si="98"/>
        <v>300000</v>
      </c>
      <c r="M219" s="216">
        <f t="shared" si="98"/>
        <v>300000</v>
      </c>
      <c r="N219" s="216">
        <f t="shared" si="98"/>
        <v>300000</v>
      </c>
      <c r="O219" s="216">
        <f t="shared" si="98"/>
        <v>300000</v>
      </c>
      <c r="P219" s="216">
        <f t="shared" si="98"/>
        <v>300000</v>
      </c>
      <c r="Q219" s="216">
        <f t="shared" si="98"/>
        <v>300000</v>
      </c>
      <c r="R219" s="216">
        <f t="shared" si="98"/>
        <v>300000</v>
      </c>
      <c r="S219" s="216">
        <f t="shared" si="98"/>
        <v>300000</v>
      </c>
      <c r="T219" s="216">
        <f t="shared" si="98"/>
        <v>300000</v>
      </c>
      <c r="U219" s="216">
        <f t="shared" si="98"/>
        <v>300000</v>
      </c>
      <c r="V219" s="216">
        <f t="shared" si="98"/>
        <v>0</v>
      </c>
      <c r="W219" s="216">
        <f t="shared" si="98"/>
        <v>0</v>
      </c>
      <c r="X219" s="216">
        <f t="shared" si="98"/>
        <v>0</v>
      </c>
      <c r="Y219" s="216">
        <f t="shared" si="98"/>
        <v>0</v>
      </c>
      <c r="Z219" s="216">
        <f t="shared" si="98"/>
        <v>0</v>
      </c>
      <c r="AA219" s="216">
        <f t="shared" si="98"/>
        <v>0</v>
      </c>
      <c r="AB219" s="216">
        <f t="shared" si="98"/>
        <v>0</v>
      </c>
      <c r="AC219" s="216">
        <f t="shared" si="98"/>
        <v>0</v>
      </c>
      <c r="AD219" s="216">
        <f t="shared" si="98"/>
        <v>0</v>
      </c>
      <c r="AE219" s="216">
        <f t="shared" si="98"/>
        <v>0</v>
      </c>
      <c r="AF219" s="216">
        <f t="shared" si="98"/>
        <v>0</v>
      </c>
      <c r="AG219" s="216">
        <f t="shared" si="98"/>
        <v>0</v>
      </c>
      <c r="AH219" s="216">
        <f t="shared" si="98"/>
        <v>0</v>
      </c>
      <c r="AI219" s="216">
        <f t="shared" si="98"/>
        <v>0</v>
      </c>
      <c r="AJ219" s="216">
        <f t="shared" si="98"/>
        <v>0</v>
      </c>
      <c r="AK219" s="216">
        <f t="shared" si="98"/>
        <v>0</v>
      </c>
      <c r="AL219" s="217">
        <f t="shared" si="98"/>
        <v>0</v>
      </c>
      <c r="AM219" s="175"/>
    </row>
    <row r="220" spans="2:39" hidden="1" outlineLevel="2">
      <c r="B220" s="272"/>
      <c r="C220" s="272"/>
      <c r="D220" s="190" t="s">
        <v>21</v>
      </c>
      <c r="E220" s="209">
        <f>+E16</f>
        <v>18764728.809999999</v>
      </c>
      <c r="F220" s="210">
        <f>+F16</f>
        <v>22266908</v>
      </c>
      <c r="G220" s="210">
        <f>+G16</f>
        <v>20656887.920000002</v>
      </c>
      <c r="H220" s="211">
        <f>+H16</f>
        <v>18408779.100000001</v>
      </c>
      <c r="I220" s="280">
        <f>+I16</f>
        <v>20320889.75</v>
      </c>
      <c r="J220" s="281">
        <f t="shared" ref="J220:AL220" si="99">+J16</f>
        <v>19193344</v>
      </c>
      <c r="K220" s="281">
        <f t="shared" si="99"/>
        <v>17500000</v>
      </c>
      <c r="L220" s="281">
        <f t="shared" si="99"/>
        <v>17543950</v>
      </c>
      <c r="M220" s="281">
        <f t="shared" si="99"/>
        <v>17637269</v>
      </c>
      <c r="N220" s="281">
        <f t="shared" si="99"/>
        <v>17945387</v>
      </c>
      <c r="O220" s="281">
        <f t="shared" si="99"/>
        <v>17568748</v>
      </c>
      <c r="P220" s="281">
        <f t="shared" si="99"/>
        <v>17507811</v>
      </c>
      <c r="Q220" s="281">
        <f t="shared" si="99"/>
        <v>18163045</v>
      </c>
      <c r="R220" s="281">
        <f t="shared" si="99"/>
        <v>18604936</v>
      </c>
      <c r="S220" s="281">
        <f t="shared" si="99"/>
        <v>19013984</v>
      </c>
      <c r="T220" s="281">
        <f t="shared" si="99"/>
        <v>19582704</v>
      </c>
      <c r="U220" s="281">
        <f t="shared" si="99"/>
        <v>21012625</v>
      </c>
      <c r="V220" s="281">
        <f t="shared" si="99"/>
        <v>0</v>
      </c>
      <c r="W220" s="281">
        <f t="shared" si="99"/>
        <v>0</v>
      </c>
      <c r="X220" s="281">
        <f t="shared" si="99"/>
        <v>0</v>
      </c>
      <c r="Y220" s="281">
        <f t="shared" si="99"/>
        <v>0</v>
      </c>
      <c r="Z220" s="281">
        <f t="shared" si="99"/>
        <v>0</v>
      </c>
      <c r="AA220" s="281">
        <f t="shared" si="99"/>
        <v>0</v>
      </c>
      <c r="AB220" s="281">
        <f t="shared" si="99"/>
        <v>0</v>
      </c>
      <c r="AC220" s="281">
        <f t="shared" si="99"/>
        <v>0</v>
      </c>
      <c r="AD220" s="281">
        <f t="shared" si="99"/>
        <v>0</v>
      </c>
      <c r="AE220" s="281">
        <f t="shared" si="99"/>
        <v>0</v>
      </c>
      <c r="AF220" s="281">
        <f t="shared" si="99"/>
        <v>0</v>
      </c>
      <c r="AG220" s="281">
        <f t="shared" si="99"/>
        <v>0</v>
      </c>
      <c r="AH220" s="281">
        <f t="shared" si="99"/>
        <v>0</v>
      </c>
      <c r="AI220" s="281">
        <f t="shared" si="99"/>
        <v>0</v>
      </c>
      <c r="AJ220" s="281">
        <f t="shared" si="99"/>
        <v>0</v>
      </c>
      <c r="AK220" s="281">
        <f t="shared" si="99"/>
        <v>0</v>
      </c>
      <c r="AL220" s="282">
        <f t="shared" si="99"/>
        <v>0</v>
      </c>
      <c r="AM220" s="276"/>
    </row>
    <row r="221" spans="2:39" ht="15" hidden="1" outlineLevel="2">
      <c r="B221" s="189"/>
      <c r="C221" s="189"/>
      <c r="D221" s="202" t="s">
        <v>390</v>
      </c>
      <c r="E221" s="218">
        <f>+E16-E78-E81</f>
        <v>18764728.809999999</v>
      </c>
      <c r="F221" s="219">
        <f>+F16-F78-F81</f>
        <v>22266908</v>
      </c>
      <c r="G221" s="219">
        <f>+G16-G78-G81</f>
        <v>20656887.920000002</v>
      </c>
      <c r="H221" s="220">
        <f>+H16-H78-H81</f>
        <v>18408779.100000001</v>
      </c>
      <c r="I221" s="212">
        <f>+I16-I78-I81</f>
        <v>17452298.75</v>
      </c>
      <c r="J221" s="213">
        <f t="shared" ref="J221:AL221" si="100">+J16-J78-J81</f>
        <v>17318092</v>
      </c>
      <c r="K221" s="213">
        <f t="shared" si="100"/>
        <v>17500000</v>
      </c>
      <c r="L221" s="213">
        <f t="shared" si="100"/>
        <v>17543950</v>
      </c>
      <c r="M221" s="213">
        <f t="shared" si="100"/>
        <v>17637269</v>
      </c>
      <c r="N221" s="213">
        <f t="shared" si="100"/>
        <v>17945387</v>
      </c>
      <c r="O221" s="213">
        <f t="shared" si="100"/>
        <v>17568748</v>
      </c>
      <c r="P221" s="213">
        <f t="shared" si="100"/>
        <v>17507811</v>
      </c>
      <c r="Q221" s="213">
        <f t="shared" si="100"/>
        <v>18163045</v>
      </c>
      <c r="R221" s="213">
        <f t="shared" si="100"/>
        <v>18604936</v>
      </c>
      <c r="S221" s="213">
        <f t="shared" si="100"/>
        <v>19013984</v>
      </c>
      <c r="T221" s="213">
        <f t="shared" si="100"/>
        <v>19582704</v>
      </c>
      <c r="U221" s="213">
        <f t="shared" si="100"/>
        <v>21012625</v>
      </c>
      <c r="V221" s="213">
        <f t="shared" si="100"/>
        <v>0</v>
      </c>
      <c r="W221" s="213">
        <f t="shared" si="100"/>
        <v>0</v>
      </c>
      <c r="X221" s="213">
        <f t="shared" si="100"/>
        <v>0</v>
      </c>
      <c r="Y221" s="213">
        <f t="shared" si="100"/>
        <v>0</v>
      </c>
      <c r="Z221" s="213">
        <f t="shared" si="100"/>
        <v>0</v>
      </c>
      <c r="AA221" s="213">
        <f t="shared" si="100"/>
        <v>0</v>
      </c>
      <c r="AB221" s="213">
        <f t="shared" si="100"/>
        <v>0</v>
      </c>
      <c r="AC221" s="213">
        <f t="shared" si="100"/>
        <v>0</v>
      </c>
      <c r="AD221" s="213">
        <f t="shared" si="100"/>
        <v>0</v>
      </c>
      <c r="AE221" s="213">
        <f t="shared" si="100"/>
        <v>0</v>
      </c>
      <c r="AF221" s="213">
        <f t="shared" si="100"/>
        <v>0</v>
      </c>
      <c r="AG221" s="213">
        <f t="shared" si="100"/>
        <v>0</v>
      </c>
      <c r="AH221" s="213">
        <f t="shared" si="100"/>
        <v>0</v>
      </c>
      <c r="AI221" s="213">
        <f t="shared" si="100"/>
        <v>0</v>
      </c>
      <c r="AJ221" s="213">
        <f t="shared" si="100"/>
        <v>0</v>
      </c>
      <c r="AK221" s="213">
        <f t="shared" si="100"/>
        <v>0</v>
      </c>
      <c r="AL221" s="214">
        <f t="shared" si="100"/>
        <v>0</v>
      </c>
      <c r="AM221" s="175"/>
    </row>
    <row r="222" spans="2:39" hidden="1" outlineLevel="2">
      <c r="B222" s="272"/>
      <c r="C222" s="272"/>
      <c r="D222" s="203" t="s">
        <v>37</v>
      </c>
      <c r="E222" s="261">
        <f>+E17</f>
        <v>14183688.6</v>
      </c>
      <c r="F222" s="262">
        <f>+F17</f>
        <v>14121187.48</v>
      </c>
      <c r="G222" s="262">
        <f>+G17</f>
        <v>15825527.92</v>
      </c>
      <c r="H222" s="263">
        <f>+H17</f>
        <v>15466263.529999999</v>
      </c>
      <c r="I222" s="283">
        <f>+I17</f>
        <v>16881117.5</v>
      </c>
      <c r="J222" s="284">
        <f t="shared" ref="J222:AL222" si="101">+J17</f>
        <v>16272983</v>
      </c>
      <c r="K222" s="284">
        <f t="shared" si="101"/>
        <v>16273673</v>
      </c>
      <c r="L222" s="284">
        <f t="shared" si="101"/>
        <v>16346533</v>
      </c>
      <c r="M222" s="284">
        <f t="shared" si="101"/>
        <v>16533929</v>
      </c>
      <c r="N222" s="284">
        <f t="shared" si="101"/>
        <v>16741237</v>
      </c>
      <c r="O222" s="284">
        <f t="shared" si="101"/>
        <v>17061844</v>
      </c>
      <c r="P222" s="284">
        <f t="shared" si="101"/>
        <v>17260149</v>
      </c>
      <c r="Q222" s="284">
        <f t="shared" si="101"/>
        <v>16966564</v>
      </c>
      <c r="R222" s="284">
        <f t="shared" si="101"/>
        <v>17393510</v>
      </c>
      <c r="S222" s="284">
        <f t="shared" si="101"/>
        <v>17827425</v>
      </c>
      <c r="T222" s="284">
        <f t="shared" si="101"/>
        <v>18266759</v>
      </c>
      <c r="U222" s="284">
        <f t="shared" si="101"/>
        <v>18718971</v>
      </c>
      <c r="V222" s="284">
        <f t="shared" si="101"/>
        <v>0</v>
      </c>
      <c r="W222" s="284">
        <f t="shared" si="101"/>
        <v>0</v>
      </c>
      <c r="X222" s="284">
        <f t="shared" si="101"/>
        <v>0</v>
      </c>
      <c r="Y222" s="284">
        <f t="shared" si="101"/>
        <v>0</v>
      </c>
      <c r="Z222" s="284">
        <f t="shared" si="101"/>
        <v>0</v>
      </c>
      <c r="AA222" s="284">
        <f t="shared" si="101"/>
        <v>0</v>
      </c>
      <c r="AB222" s="284">
        <f t="shared" si="101"/>
        <v>0</v>
      </c>
      <c r="AC222" s="284">
        <f t="shared" si="101"/>
        <v>0</v>
      </c>
      <c r="AD222" s="284">
        <f t="shared" si="101"/>
        <v>0</v>
      </c>
      <c r="AE222" s="284">
        <f t="shared" si="101"/>
        <v>0</v>
      </c>
      <c r="AF222" s="284">
        <f t="shared" si="101"/>
        <v>0</v>
      </c>
      <c r="AG222" s="284">
        <f t="shared" si="101"/>
        <v>0</v>
      </c>
      <c r="AH222" s="284">
        <f t="shared" si="101"/>
        <v>0</v>
      </c>
      <c r="AI222" s="284">
        <f t="shared" si="101"/>
        <v>0</v>
      </c>
      <c r="AJ222" s="284">
        <f t="shared" si="101"/>
        <v>0</v>
      </c>
      <c r="AK222" s="284">
        <f t="shared" si="101"/>
        <v>0</v>
      </c>
      <c r="AL222" s="285">
        <f t="shared" si="101"/>
        <v>0</v>
      </c>
      <c r="AM222" s="276"/>
    </row>
    <row r="223" spans="2:39" ht="15" hidden="1" outlineLevel="2">
      <c r="B223" s="189"/>
      <c r="C223" s="189"/>
      <c r="D223" s="197" t="s">
        <v>39</v>
      </c>
      <c r="E223" s="218">
        <f>+E17-E78</f>
        <v>14183688.6</v>
      </c>
      <c r="F223" s="219">
        <f>+F17-F78</f>
        <v>14121187.48</v>
      </c>
      <c r="G223" s="219">
        <f>+G17-G78</f>
        <v>15825527.92</v>
      </c>
      <c r="H223" s="220">
        <f>+H17-H78</f>
        <v>15466263.529999999</v>
      </c>
      <c r="I223" s="212">
        <f>+I17-I78</f>
        <v>16479646.5</v>
      </c>
      <c r="J223" s="213">
        <f t="shared" ref="J223:AL223" si="102">+J17-J78</f>
        <v>16249973</v>
      </c>
      <c r="K223" s="213">
        <f t="shared" si="102"/>
        <v>16273673</v>
      </c>
      <c r="L223" s="213">
        <f t="shared" si="102"/>
        <v>16346533</v>
      </c>
      <c r="M223" s="213">
        <f t="shared" si="102"/>
        <v>16533929</v>
      </c>
      <c r="N223" s="213">
        <f t="shared" si="102"/>
        <v>16741237</v>
      </c>
      <c r="O223" s="213">
        <f t="shared" si="102"/>
        <v>17061844</v>
      </c>
      <c r="P223" s="213">
        <f t="shared" si="102"/>
        <v>17260149</v>
      </c>
      <c r="Q223" s="213">
        <f t="shared" si="102"/>
        <v>16966564</v>
      </c>
      <c r="R223" s="213">
        <f t="shared" si="102"/>
        <v>17393510</v>
      </c>
      <c r="S223" s="213">
        <f t="shared" si="102"/>
        <v>17827425</v>
      </c>
      <c r="T223" s="213">
        <f t="shared" si="102"/>
        <v>18266759</v>
      </c>
      <c r="U223" s="213">
        <f t="shared" si="102"/>
        <v>18718971</v>
      </c>
      <c r="V223" s="213">
        <f t="shared" si="102"/>
        <v>0</v>
      </c>
      <c r="W223" s="213">
        <f t="shared" si="102"/>
        <v>0</v>
      </c>
      <c r="X223" s="213">
        <f t="shared" si="102"/>
        <v>0</v>
      </c>
      <c r="Y223" s="213">
        <f t="shared" si="102"/>
        <v>0</v>
      </c>
      <c r="Z223" s="213">
        <f t="shared" si="102"/>
        <v>0</v>
      </c>
      <c r="AA223" s="213">
        <f t="shared" si="102"/>
        <v>0</v>
      </c>
      <c r="AB223" s="213">
        <f t="shared" si="102"/>
        <v>0</v>
      </c>
      <c r="AC223" s="213">
        <f t="shared" si="102"/>
        <v>0</v>
      </c>
      <c r="AD223" s="213">
        <f t="shared" si="102"/>
        <v>0</v>
      </c>
      <c r="AE223" s="213">
        <f t="shared" si="102"/>
        <v>0</v>
      </c>
      <c r="AF223" s="213">
        <f t="shared" si="102"/>
        <v>0</v>
      </c>
      <c r="AG223" s="213">
        <f t="shared" si="102"/>
        <v>0</v>
      </c>
      <c r="AH223" s="213">
        <f t="shared" si="102"/>
        <v>0</v>
      </c>
      <c r="AI223" s="213">
        <f t="shared" si="102"/>
        <v>0</v>
      </c>
      <c r="AJ223" s="213">
        <f t="shared" si="102"/>
        <v>0</v>
      </c>
      <c r="AK223" s="213">
        <f t="shared" si="102"/>
        <v>0</v>
      </c>
      <c r="AL223" s="214">
        <f t="shared" si="102"/>
        <v>0</v>
      </c>
      <c r="AM223" s="175"/>
    </row>
    <row r="224" spans="2:39" ht="15" hidden="1" outlineLevel="2">
      <c r="B224" s="189"/>
      <c r="C224" s="189"/>
      <c r="D224" s="197" t="s">
        <v>38</v>
      </c>
      <c r="E224" s="218">
        <f>+E63</f>
        <v>0</v>
      </c>
      <c r="F224" s="219">
        <f>+F63</f>
        <v>5923327</v>
      </c>
      <c r="G224" s="219">
        <f>+G63</f>
        <v>6553390.0899999999</v>
      </c>
      <c r="H224" s="220">
        <f>+H63</f>
        <v>6453390.0899999999</v>
      </c>
      <c r="I224" s="212">
        <f>+I63</f>
        <v>6782288.0599999996</v>
      </c>
      <c r="J224" s="213">
        <f t="shared" ref="J224:AL224" si="103">+J63</f>
        <v>6758808</v>
      </c>
      <c r="K224" s="213">
        <f t="shared" si="103"/>
        <v>6961573</v>
      </c>
      <c r="L224" s="213">
        <f t="shared" si="103"/>
        <v>7170420</v>
      </c>
      <c r="M224" s="213">
        <f t="shared" si="103"/>
        <v>7385532</v>
      </c>
      <c r="N224" s="213">
        <f t="shared" si="103"/>
        <v>7607098</v>
      </c>
      <c r="O224" s="213">
        <f t="shared" si="103"/>
        <v>7835311</v>
      </c>
      <c r="P224" s="213">
        <f t="shared" si="103"/>
        <v>8070371</v>
      </c>
      <c r="Q224" s="213">
        <f t="shared" si="103"/>
        <v>8312482</v>
      </c>
      <c r="R224" s="213">
        <f t="shared" si="103"/>
        <v>8561856</v>
      </c>
      <c r="S224" s="213">
        <f t="shared" si="103"/>
        <v>8818712</v>
      </c>
      <c r="T224" s="213">
        <f t="shared" si="103"/>
        <v>9083273</v>
      </c>
      <c r="U224" s="213">
        <f t="shared" si="103"/>
        <v>9355771</v>
      </c>
      <c r="V224" s="213">
        <f t="shared" si="103"/>
        <v>0</v>
      </c>
      <c r="W224" s="213">
        <f t="shared" si="103"/>
        <v>0</v>
      </c>
      <c r="X224" s="213">
        <f t="shared" si="103"/>
        <v>0</v>
      </c>
      <c r="Y224" s="213">
        <f t="shared" si="103"/>
        <v>0</v>
      </c>
      <c r="Z224" s="213">
        <f t="shared" si="103"/>
        <v>0</v>
      </c>
      <c r="AA224" s="213">
        <f t="shared" si="103"/>
        <v>0</v>
      </c>
      <c r="AB224" s="213">
        <f t="shared" si="103"/>
        <v>0</v>
      </c>
      <c r="AC224" s="213">
        <f t="shared" si="103"/>
        <v>0</v>
      </c>
      <c r="AD224" s="213">
        <f t="shared" si="103"/>
        <v>0</v>
      </c>
      <c r="AE224" s="213">
        <f t="shared" si="103"/>
        <v>0</v>
      </c>
      <c r="AF224" s="213">
        <f t="shared" si="103"/>
        <v>0</v>
      </c>
      <c r="AG224" s="213">
        <f t="shared" si="103"/>
        <v>0</v>
      </c>
      <c r="AH224" s="213">
        <f t="shared" si="103"/>
        <v>0</v>
      </c>
      <c r="AI224" s="213">
        <f t="shared" si="103"/>
        <v>0</v>
      </c>
      <c r="AJ224" s="213">
        <f t="shared" si="103"/>
        <v>0</v>
      </c>
      <c r="AK224" s="213">
        <f t="shared" si="103"/>
        <v>0</v>
      </c>
      <c r="AL224" s="214">
        <f t="shared" si="103"/>
        <v>0</v>
      </c>
      <c r="AM224" s="175"/>
    </row>
    <row r="225" spans="2:39" ht="24" hidden="1" outlineLevel="2">
      <c r="B225" s="189"/>
      <c r="C225" s="189"/>
      <c r="D225" s="198" t="s">
        <v>389</v>
      </c>
      <c r="E225" s="221">
        <f>+E17-E18-E21-E63-E64</f>
        <v>11789190.959999999</v>
      </c>
      <c r="F225" s="222">
        <f>+F17-F18-F21-F63-F64</f>
        <v>5376966.6300000008</v>
      </c>
      <c r="G225" s="222">
        <f>+G17-G18-G21-G63-G64</f>
        <v>8593017.8300000001</v>
      </c>
      <c r="H225" s="223">
        <f>+H17-H18-H21-H63-H64</f>
        <v>5730557.709999999</v>
      </c>
      <c r="I225" s="215">
        <f>+I17-I18-I21-I63-I64</f>
        <v>6145048.4400000013</v>
      </c>
      <c r="J225" s="216">
        <f t="shared" ref="J225:AL225" si="104">+J17-J18-J21-J63-J64</f>
        <v>5764175</v>
      </c>
      <c r="K225" s="216">
        <f t="shared" si="104"/>
        <v>5417100</v>
      </c>
      <c r="L225" s="216">
        <f t="shared" si="104"/>
        <v>5276113</v>
      </c>
      <c r="M225" s="216">
        <f t="shared" si="104"/>
        <v>5191397</v>
      </c>
      <c r="N225" s="216">
        <f t="shared" si="104"/>
        <v>5113139</v>
      </c>
      <c r="O225" s="216">
        <f t="shared" si="104"/>
        <v>5141533</v>
      </c>
      <c r="P225" s="216">
        <f t="shared" si="104"/>
        <v>5076778</v>
      </c>
      <c r="Q225" s="216">
        <f t="shared" si="104"/>
        <v>4519082</v>
      </c>
      <c r="R225" s="216">
        <f t="shared" si="104"/>
        <v>4668654</v>
      </c>
      <c r="S225" s="216">
        <f t="shared" si="104"/>
        <v>4825713</v>
      </c>
      <c r="T225" s="216">
        <f t="shared" si="104"/>
        <v>4990486</v>
      </c>
      <c r="U225" s="216">
        <f t="shared" si="104"/>
        <v>5131250</v>
      </c>
      <c r="V225" s="216">
        <f t="shared" si="104"/>
        <v>0</v>
      </c>
      <c r="W225" s="216">
        <f t="shared" si="104"/>
        <v>0</v>
      </c>
      <c r="X225" s="216">
        <f t="shared" si="104"/>
        <v>0</v>
      </c>
      <c r="Y225" s="216">
        <f t="shared" si="104"/>
        <v>0</v>
      </c>
      <c r="Z225" s="216">
        <f t="shared" si="104"/>
        <v>0</v>
      </c>
      <c r="AA225" s="216">
        <f t="shared" si="104"/>
        <v>0</v>
      </c>
      <c r="AB225" s="216">
        <f t="shared" si="104"/>
        <v>0</v>
      </c>
      <c r="AC225" s="216">
        <f t="shared" si="104"/>
        <v>0</v>
      </c>
      <c r="AD225" s="216">
        <f t="shared" si="104"/>
        <v>0</v>
      </c>
      <c r="AE225" s="216">
        <f t="shared" si="104"/>
        <v>0</v>
      </c>
      <c r="AF225" s="216">
        <f t="shared" si="104"/>
        <v>0</v>
      </c>
      <c r="AG225" s="216">
        <f t="shared" si="104"/>
        <v>0</v>
      </c>
      <c r="AH225" s="216">
        <f t="shared" si="104"/>
        <v>0</v>
      </c>
      <c r="AI225" s="216">
        <f t="shared" si="104"/>
        <v>0</v>
      </c>
      <c r="AJ225" s="216">
        <f t="shared" si="104"/>
        <v>0</v>
      </c>
      <c r="AK225" s="216">
        <f t="shared" si="104"/>
        <v>0</v>
      </c>
      <c r="AL225" s="217">
        <f t="shared" si="104"/>
        <v>0</v>
      </c>
      <c r="AM225" s="175"/>
    </row>
    <row r="226" spans="2:39" hidden="1" outlineLevel="2">
      <c r="D226" s="25"/>
      <c r="E226" s="83"/>
      <c r="F226" s="83"/>
      <c r="G226" s="83"/>
      <c r="H226" s="83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</row>
    <row r="227" spans="2:39" hidden="1" outlineLevel="1">
      <c r="D227" s="304" t="s">
        <v>440</v>
      </c>
      <c r="E227" s="80"/>
      <c r="F227" s="80"/>
      <c r="G227" s="418" t="s">
        <v>470</v>
      </c>
      <c r="H227" s="418" t="s">
        <v>471</v>
      </c>
    </row>
    <row r="228" spans="2:39" ht="15" hidden="1" outlineLevel="2">
      <c r="B228" s="286"/>
      <c r="C228" s="286"/>
      <c r="D228" s="8" t="s">
        <v>26</v>
      </c>
      <c r="E228" s="398" t="s">
        <v>426</v>
      </c>
      <c r="F228" s="110">
        <f t="shared" ref="F228:I229" si="105">+IF(E5&lt;&gt;0,F5/E5,"-")</f>
        <v>0.96975716117137323</v>
      </c>
      <c r="G228" s="110">
        <f t="shared" si="105"/>
        <v>1.1610377835834325</v>
      </c>
      <c r="H228" s="111">
        <f>+IF(F5&lt;&gt;0,H5/F5,"-")</f>
        <v>1.1666940449404397</v>
      </c>
      <c r="I228" s="98">
        <f t="shared" si="105"/>
        <v>1.0304300797125523</v>
      </c>
      <c r="J228" s="99">
        <f t="shared" ref="J228:AL228" si="106">+IF(I5&lt;&gt;0,J5/I5,"-")</f>
        <v>1.061678780019162</v>
      </c>
      <c r="K228" s="99">
        <f t="shared" si="106"/>
        <v>0.86912103814137676</v>
      </c>
      <c r="L228" s="99">
        <f t="shared" si="106"/>
        <v>1.0195426136363637</v>
      </c>
      <c r="M228" s="99">
        <f t="shared" si="106"/>
        <v>1.0163464008760612</v>
      </c>
      <c r="N228" s="99">
        <f t="shared" si="106"/>
        <v>1.016894963823805</v>
      </c>
      <c r="O228" s="99">
        <f t="shared" si="106"/>
        <v>1.0120440193564038</v>
      </c>
      <c r="P228" s="99">
        <f t="shared" si="106"/>
        <v>1.00208127894306</v>
      </c>
      <c r="Q228" s="99">
        <f t="shared" si="106"/>
        <v>1.0295214578666279</v>
      </c>
      <c r="R228" s="99">
        <f t="shared" si="106"/>
        <v>1.0295351789968985</v>
      </c>
      <c r="S228" s="99">
        <f t="shared" si="106"/>
        <v>1.0295485272689113</v>
      </c>
      <c r="T228" s="99">
        <f t="shared" si="106"/>
        <v>1.029561512033921</v>
      </c>
      <c r="U228" s="99">
        <f t="shared" si="106"/>
        <v>1.0295740738216768</v>
      </c>
      <c r="V228" s="99">
        <f t="shared" si="106"/>
        <v>0</v>
      </c>
      <c r="W228" s="99" t="str">
        <f t="shared" si="106"/>
        <v>-</v>
      </c>
      <c r="X228" s="99" t="str">
        <f t="shared" si="106"/>
        <v>-</v>
      </c>
      <c r="Y228" s="99" t="str">
        <f t="shared" si="106"/>
        <v>-</v>
      </c>
      <c r="Z228" s="99" t="str">
        <f t="shared" si="106"/>
        <v>-</v>
      </c>
      <c r="AA228" s="99" t="str">
        <f t="shared" si="106"/>
        <v>-</v>
      </c>
      <c r="AB228" s="99" t="str">
        <f t="shared" si="106"/>
        <v>-</v>
      </c>
      <c r="AC228" s="99" t="str">
        <f t="shared" si="106"/>
        <v>-</v>
      </c>
      <c r="AD228" s="99" t="str">
        <f t="shared" si="106"/>
        <v>-</v>
      </c>
      <c r="AE228" s="99" t="str">
        <f t="shared" si="106"/>
        <v>-</v>
      </c>
      <c r="AF228" s="99" t="str">
        <f t="shared" si="106"/>
        <v>-</v>
      </c>
      <c r="AG228" s="99" t="str">
        <f t="shared" si="106"/>
        <v>-</v>
      </c>
      <c r="AH228" s="99" t="str">
        <f t="shared" si="106"/>
        <v>-</v>
      </c>
      <c r="AI228" s="99" t="str">
        <f t="shared" si="106"/>
        <v>-</v>
      </c>
      <c r="AJ228" s="99" t="str">
        <f t="shared" si="106"/>
        <v>-</v>
      </c>
      <c r="AK228" s="99" t="str">
        <f t="shared" si="106"/>
        <v>-</v>
      </c>
      <c r="AL228" s="100" t="str">
        <f t="shared" si="106"/>
        <v>-</v>
      </c>
      <c r="AM228" s="43"/>
    </row>
    <row r="229" spans="2:39" hidden="1" outlineLevel="2">
      <c r="D229" s="9" t="s">
        <v>226</v>
      </c>
      <c r="E229" s="399" t="s">
        <v>426</v>
      </c>
      <c r="F229" s="112">
        <f t="shared" si="105"/>
        <v>1.0603971179625986</v>
      </c>
      <c r="G229" s="112">
        <f t="shared" si="105"/>
        <v>1.1131649814126643</v>
      </c>
      <c r="H229" s="113">
        <f>+IF(F6&lt;&gt;0,H6/F6,"-")</f>
        <v>1.1306244913825769</v>
      </c>
      <c r="I229" s="101">
        <f t="shared" si="105"/>
        <v>1.0305070272980097</v>
      </c>
      <c r="J229" s="102">
        <f t="shared" ref="J229:AL229" si="107">+IF(I6&lt;&gt;0,J6/I6,"-")</f>
        <v>1.0202142395248668</v>
      </c>
      <c r="K229" s="102">
        <f t="shared" si="107"/>
        <v>1.0297619047619047</v>
      </c>
      <c r="L229" s="102">
        <f t="shared" si="107"/>
        <v>1.0198815028901733</v>
      </c>
      <c r="M229" s="102">
        <f t="shared" si="107"/>
        <v>1.0166243386543263</v>
      </c>
      <c r="N229" s="102">
        <f t="shared" si="107"/>
        <v>1.0171775313176159</v>
      </c>
      <c r="O229" s="102">
        <f t="shared" si="107"/>
        <v>1.0122420532927034</v>
      </c>
      <c r="P229" s="102">
        <f t="shared" si="107"/>
        <v>1.0021150865234612</v>
      </c>
      <c r="Q229" s="102">
        <f t="shared" si="107"/>
        <v>1.0299999821696904</v>
      </c>
      <c r="R229" s="102">
        <f t="shared" si="107"/>
        <v>1.0299999816398693</v>
      </c>
      <c r="S229" s="102">
        <f t="shared" si="107"/>
        <v>1.0299999959256296</v>
      </c>
      <c r="T229" s="102">
        <f t="shared" si="107"/>
        <v>1.030000023734196</v>
      </c>
      <c r="U229" s="102">
        <f t="shared" si="107"/>
        <v>1.029999994239273</v>
      </c>
      <c r="V229" s="102">
        <f t="shared" si="107"/>
        <v>0</v>
      </c>
      <c r="W229" s="102" t="str">
        <f t="shared" si="107"/>
        <v>-</v>
      </c>
      <c r="X229" s="102" t="str">
        <f t="shared" si="107"/>
        <v>-</v>
      </c>
      <c r="Y229" s="102" t="str">
        <f t="shared" si="107"/>
        <v>-</v>
      </c>
      <c r="Z229" s="102" t="str">
        <f t="shared" si="107"/>
        <v>-</v>
      </c>
      <c r="AA229" s="102" t="str">
        <f t="shared" si="107"/>
        <v>-</v>
      </c>
      <c r="AB229" s="102" t="str">
        <f t="shared" si="107"/>
        <v>-</v>
      </c>
      <c r="AC229" s="102" t="str">
        <f t="shared" si="107"/>
        <v>-</v>
      </c>
      <c r="AD229" s="102" t="str">
        <f t="shared" si="107"/>
        <v>-</v>
      </c>
      <c r="AE229" s="102" t="str">
        <f t="shared" si="107"/>
        <v>-</v>
      </c>
      <c r="AF229" s="102" t="str">
        <f t="shared" si="107"/>
        <v>-</v>
      </c>
      <c r="AG229" s="102" t="str">
        <f t="shared" si="107"/>
        <v>-</v>
      </c>
      <c r="AH229" s="102" t="str">
        <f t="shared" si="107"/>
        <v>-</v>
      </c>
      <c r="AI229" s="102" t="str">
        <f t="shared" si="107"/>
        <v>-</v>
      </c>
      <c r="AJ229" s="102" t="str">
        <f t="shared" si="107"/>
        <v>-</v>
      </c>
      <c r="AK229" s="102" t="str">
        <f t="shared" si="107"/>
        <v>-</v>
      </c>
      <c r="AL229" s="103" t="str">
        <f t="shared" si="107"/>
        <v>-</v>
      </c>
    </row>
    <row r="230" spans="2:39" ht="24" hidden="1" outlineLevel="2">
      <c r="D230" s="10" t="s">
        <v>397</v>
      </c>
      <c r="E230" s="400" t="s">
        <v>426</v>
      </c>
      <c r="F230" s="114" t="str">
        <f>+IF((E72)&lt;&gt;0,(F72)/(E72),"-")</f>
        <v>-</v>
      </c>
      <c r="G230" s="114" t="str">
        <f>+IF((F72)&lt;&gt;0,(G72)/(F72),"-")</f>
        <v>-</v>
      </c>
      <c r="H230" s="115" t="str">
        <f>+IF((F72)&lt;&gt;0,(H72)/(F72),"-")</f>
        <v>-</v>
      </c>
      <c r="I230" s="101" t="str">
        <f>+IF((H72)&lt;&gt;0,(I72)/(H72),"-")</f>
        <v>-</v>
      </c>
      <c r="J230" s="102">
        <f t="shared" ref="J230:AL230" si="108">+IF((I72)&lt;&gt;0,(J72)/(I72),"-")</f>
        <v>0</v>
      </c>
      <c r="K230" s="102" t="str">
        <f t="shared" si="108"/>
        <v>-</v>
      </c>
      <c r="L230" s="102" t="str">
        <f t="shared" si="108"/>
        <v>-</v>
      </c>
      <c r="M230" s="102" t="str">
        <f t="shared" si="108"/>
        <v>-</v>
      </c>
      <c r="N230" s="102" t="str">
        <f t="shared" si="108"/>
        <v>-</v>
      </c>
      <c r="O230" s="102" t="str">
        <f t="shared" si="108"/>
        <v>-</v>
      </c>
      <c r="P230" s="102" t="str">
        <f t="shared" si="108"/>
        <v>-</v>
      </c>
      <c r="Q230" s="102" t="str">
        <f t="shared" si="108"/>
        <v>-</v>
      </c>
      <c r="R230" s="102" t="str">
        <f t="shared" si="108"/>
        <v>-</v>
      </c>
      <c r="S230" s="102" t="str">
        <f t="shared" si="108"/>
        <v>-</v>
      </c>
      <c r="T230" s="102" t="str">
        <f t="shared" si="108"/>
        <v>-</v>
      </c>
      <c r="U230" s="102" t="str">
        <f t="shared" si="108"/>
        <v>-</v>
      </c>
      <c r="V230" s="102" t="str">
        <f t="shared" si="108"/>
        <v>-</v>
      </c>
      <c r="W230" s="102" t="str">
        <f t="shared" si="108"/>
        <v>-</v>
      </c>
      <c r="X230" s="102" t="str">
        <f t="shared" si="108"/>
        <v>-</v>
      </c>
      <c r="Y230" s="102" t="str">
        <f t="shared" si="108"/>
        <v>-</v>
      </c>
      <c r="Z230" s="102" t="str">
        <f t="shared" si="108"/>
        <v>-</v>
      </c>
      <c r="AA230" s="102" t="str">
        <f t="shared" si="108"/>
        <v>-</v>
      </c>
      <c r="AB230" s="102" t="str">
        <f t="shared" si="108"/>
        <v>-</v>
      </c>
      <c r="AC230" s="102" t="str">
        <f t="shared" si="108"/>
        <v>-</v>
      </c>
      <c r="AD230" s="102" t="str">
        <f t="shared" si="108"/>
        <v>-</v>
      </c>
      <c r="AE230" s="102" t="str">
        <f t="shared" si="108"/>
        <v>-</v>
      </c>
      <c r="AF230" s="102" t="str">
        <f t="shared" si="108"/>
        <v>-</v>
      </c>
      <c r="AG230" s="102" t="str">
        <f t="shared" si="108"/>
        <v>-</v>
      </c>
      <c r="AH230" s="102" t="str">
        <f t="shared" si="108"/>
        <v>-</v>
      </c>
      <c r="AI230" s="102" t="str">
        <f t="shared" si="108"/>
        <v>-</v>
      </c>
      <c r="AJ230" s="102" t="str">
        <f t="shared" si="108"/>
        <v>-</v>
      </c>
      <c r="AK230" s="102" t="str">
        <f t="shared" si="108"/>
        <v>-</v>
      </c>
      <c r="AL230" s="103" t="str">
        <f t="shared" si="108"/>
        <v>-</v>
      </c>
    </row>
    <row r="231" spans="2:39" hidden="1" outlineLevel="2">
      <c r="D231" s="9" t="s">
        <v>29</v>
      </c>
      <c r="E231" s="399" t="s">
        <v>426</v>
      </c>
      <c r="F231" s="112">
        <f t="shared" ref="F231:I232" si="109">+IF(E13&lt;&gt;0,F13/E13,"-")</f>
        <v>0.57133604256180504</v>
      </c>
      <c r="G231" s="112">
        <f t="shared" si="109"/>
        <v>1.551598380792647</v>
      </c>
      <c r="H231" s="113">
        <f>+IF(F13&lt;&gt;0,H13/F13,"-")</f>
        <v>1.4609602198841471</v>
      </c>
      <c r="I231" s="101">
        <f t="shared" si="109"/>
        <v>1.0299442606275053</v>
      </c>
      <c r="J231" s="102">
        <f t="shared" ref="J231:AL231" si="110">+IF(I13&lt;&gt;0,J13/I13,"-")</f>
        <v>1.3236138613054269</v>
      </c>
      <c r="K231" s="102">
        <f t="shared" si="110"/>
        <v>8.6947852156190802E-2</v>
      </c>
      <c r="L231" s="102">
        <f t="shared" si="110"/>
        <v>1</v>
      </c>
      <c r="M231" s="102">
        <f t="shared" si="110"/>
        <v>1</v>
      </c>
      <c r="N231" s="102">
        <f t="shared" si="110"/>
        <v>1</v>
      </c>
      <c r="O231" s="102">
        <f t="shared" si="110"/>
        <v>1</v>
      </c>
      <c r="P231" s="102">
        <f t="shared" si="110"/>
        <v>1</v>
      </c>
      <c r="Q231" s="102">
        <f t="shared" si="110"/>
        <v>1</v>
      </c>
      <c r="R231" s="102">
        <f t="shared" si="110"/>
        <v>1</v>
      </c>
      <c r="S231" s="102">
        <f t="shared" si="110"/>
        <v>1</v>
      </c>
      <c r="T231" s="102">
        <f t="shared" si="110"/>
        <v>1</v>
      </c>
      <c r="U231" s="102">
        <f t="shared" si="110"/>
        <v>1</v>
      </c>
      <c r="V231" s="102">
        <f t="shared" si="110"/>
        <v>0</v>
      </c>
      <c r="W231" s="102" t="str">
        <f t="shared" si="110"/>
        <v>-</v>
      </c>
      <c r="X231" s="102" t="str">
        <f t="shared" si="110"/>
        <v>-</v>
      </c>
      <c r="Y231" s="102" t="str">
        <f t="shared" si="110"/>
        <v>-</v>
      </c>
      <c r="Z231" s="102" t="str">
        <f t="shared" si="110"/>
        <v>-</v>
      </c>
      <c r="AA231" s="102" t="str">
        <f t="shared" si="110"/>
        <v>-</v>
      </c>
      <c r="AB231" s="102" t="str">
        <f t="shared" si="110"/>
        <v>-</v>
      </c>
      <c r="AC231" s="102" t="str">
        <f t="shared" si="110"/>
        <v>-</v>
      </c>
      <c r="AD231" s="102" t="str">
        <f t="shared" si="110"/>
        <v>-</v>
      </c>
      <c r="AE231" s="102" t="str">
        <f t="shared" si="110"/>
        <v>-</v>
      </c>
      <c r="AF231" s="102" t="str">
        <f t="shared" si="110"/>
        <v>-</v>
      </c>
      <c r="AG231" s="102" t="str">
        <f t="shared" si="110"/>
        <v>-</v>
      </c>
      <c r="AH231" s="102" t="str">
        <f t="shared" si="110"/>
        <v>-</v>
      </c>
      <c r="AI231" s="102" t="str">
        <f t="shared" si="110"/>
        <v>-</v>
      </c>
      <c r="AJ231" s="102" t="str">
        <f t="shared" si="110"/>
        <v>-</v>
      </c>
      <c r="AK231" s="102" t="str">
        <f t="shared" si="110"/>
        <v>-</v>
      </c>
      <c r="AL231" s="103" t="str">
        <f t="shared" si="110"/>
        <v>-</v>
      </c>
    </row>
    <row r="232" spans="2:39" hidden="1" outlineLevel="2">
      <c r="D232" s="11" t="s">
        <v>30</v>
      </c>
      <c r="E232" s="399" t="s">
        <v>426</v>
      </c>
      <c r="F232" s="112">
        <f t="shared" si="109"/>
        <v>1.3459533609452925</v>
      </c>
      <c r="G232" s="112">
        <f t="shared" si="109"/>
        <v>2.0785001542886654</v>
      </c>
      <c r="H232" s="113">
        <f>+IF(F14&lt;&gt;0,H14/F14,"-")</f>
        <v>1.5646771689548822</v>
      </c>
      <c r="I232" s="101">
        <f t="shared" si="109"/>
        <v>8.2768861618535894</v>
      </c>
      <c r="J232" s="102">
        <f t="shared" ref="J232:AL232" si="111">+IF(I14&lt;&gt;0,J14/I14,"-")</f>
        <v>0.18518518518518517</v>
      </c>
      <c r="K232" s="102">
        <f t="shared" si="111"/>
        <v>1</v>
      </c>
      <c r="L232" s="102">
        <f t="shared" si="111"/>
        <v>1</v>
      </c>
      <c r="M232" s="102">
        <f t="shared" si="111"/>
        <v>1</v>
      </c>
      <c r="N232" s="102">
        <f t="shared" si="111"/>
        <v>1</v>
      </c>
      <c r="O232" s="102">
        <f t="shared" si="111"/>
        <v>1</v>
      </c>
      <c r="P232" s="102">
        <f t="shared" si="111"/>
        <v>1</v>
      </c>
      <c r="Q232" s="102">
        <f t="shared" si="111"/>
        <v>1</v>
      </c>
      <c r="R232" s="102">
        <f t="shared" si="111"/>
        <v>1</v>
      </c>
      <c r="S232" s="102">
        <f t="shared" si="111"/>
        <v>1</v>
      </c>
      <c r="T232" s="102">
        <f t="shared" si="111"/>
        <v>1</v>
      </c>
      <c r="U232" s="102">
        <f t="shared" si="111"/>
        <v>1</v>
      </c>
      <c r="V232" s="102">
        <f t="shared" si="111"/>
        <v>0</v>
      </c>
      <c r="W232" s="102" t="str">
        <f t="shared" si="111"/>
        <v>-</v>
      </c>
      <c r="X232" s="102" t="str">
        <f t="shared" si="111"/>
        <v>-</v>
      </c>
      <c r="Y232" s="102" t="str">
        <f t="shared" si="111"/>
        <v>-</v>
      </c>
      <c r="Z232" s="102" t="str">
        <f t="shared" si="111"/>
        <v>-</v>
      </c>
      <c r="AA232" s="102" t="str">
        <f t="shared" si="111"/>
        <v>-</v>
      </c>
      <c r="AB232" s="102" t="str">
        <f t="shared" si="111"/>
        <v>-</v>
      </c>
      <c r="AC232" s="102" t="str">
        <f t="shared" si="111"/>
        <v>-</v>
      </c>
      <c r="AD232" s="102" t="str">
        <f t="shared" si="111"/>
        <v>-</v>
      </c>
      <c r="AE232" s="102" t="str">
        <f t="shared" si="111"/>
        <v>-</v>
      </c>
      <c r="AF232" s="102" t="str">
        <f t="shared" si="111"/>
        <v>-</v>
      </c>
      <c r="AG232" s="102" t="str">
        <f t="shared" si="111"/>
        <v>-</v>
      </c>
      <c r="AH232" s="102" t="str">
        <f t="shared" si="111"/>
        <v>-</v>
      </c>
      <c r="AI232" s="102" t="str">
        <f t="shared" si="111"/>
        <v>-</v>
      </c>
      <c r="AJ232" s="102" t="str">
        <f t="shared" si="111"/>
        <v>-</v>
      </c>
      <c r="AK232" s="102" t="str">
        <f t="shared" si="111"/>
        <v>-</v>
      </c>
      <c r="AL232" s="103" t="str">
        <f t="shared" si="111"/>
        <v>-</v>
      </c>
    </row>
    <row r="233" spans="2:39" ht="24" hidden="1" outlineLevel="2">
      <c r="D233" s="14" t="s">
        <v>397</v>
      </c>
      <c r="E233" s="401" t="s">
        <v>426</v>
      </c>
      <c r="F233" s="116" t="str">
        <f>+IF((E75)&lt;&gt;0,(F75)/(E75),"-")</f>
        <v>-</v>
      </c>
      <c r="G233" s="116" t="str">
        <f>+IF((F75)&lt;&gt;0,(G75)/(F75),"-")</f>
        <v>-</v>
      </c>
      <c r="H233" s="117" t="str">
        <f>+IF((F75)&lt;&gt;0,(H75)/(F75),"-")</f>
        <v>-</v>
      </c>
      <c r="I233" s="104" t="str">
        <f>+IF((H75)&lt;&gt;0,(I75)/(H75),"-")</f>
        <v>-</v>
      </c>
      <c r="J233" s="105">
        <f t="shared" ref="J233:AL233" si="112">+IF((I75)&lt;&gt;0,(J75)/(I75),"-")</f>
        <v>3.2395581930792083</v>
      </c>
      <c r="K233" s="105">
        <f t="shared" si="112"/>
        <v>0</v>
      </c>
      <c r="L233" s="105" t="str">
        <f t="shared" si="112"/>
        <v>-</v>
      </c>
      <c r="M233" s="105" t="str">
        <f t="shared" si="112"/>
        <v>-</v>
      </c>
      <c r="N233" s="105" t="str">
        <f t="shared" si="112"/>
        <v>-</v>
      </c>
      <c r="O233" s="105" t="str">
        <f t="shared" si="112"/>
        <v>-</v>
      </c>
      <c r="P233" s="105" t="str">
        <f t="shared" si="112"/>
        <v>-</v>
      </c>
      <c r="Q233" s="105" t="str">
        <f t="shared" si="112"/>
        <v>-</v>
      </c>
      <c r="R233" s="105" t="str">
        <f t="shared" si="112"/>
        <v>-</v>
      </c>
      <c r="S233" s="105" t="str">
        <f t="shared" si="112"/>
        <v>-</v>
      </c>
      <c r="T233" s="105" t="str">
        <f t="shared" si="112"/>
        <v>-</v>
      </c>
      <c r="U233" s="105" t="str">
        <f t="shared" si="112"/>
        <v>-</v>
      </c>
      <c r="V233" s="105" t="str">
        <f t="shared" si="112"/>
        <v>-</v>
      </c>
      <c r="W233" s="105" t="str">
        <f t="shared" si="112"/>
        <v>-</v>
      </c>
      <c r="X233" s="105" t="str">
        <f t="shared" si="112"/>
        <v>-</v>
      </c>
      <c r="Y233" s="105" t="str">
        <f t="shared" si="112"/>
        <v>-</v>
      </c>
      <c r="Z233" s="105" t="str">
        <f t="shared" si="112"/>
        <v>-</v>
      </c>
      <c r="AA233" s="105" t="str">
        <f t="shared" si="112"/>
        <v>-</v>
      </c>
      <c r="AB233" s="105" t="str">
        <f t="shared" si="112"/>
        <v>-</v>
      </c>
      <c r="AC233" s="105" t="str">
        <f t="shared" si="112"/>
        <v>-</v>
      </c>
      <c r="AD233" s="105" t="str">
        <f t="shared" si="112"/>
        <v>-</v>
      </c>
      <c r="AE233" s="105" t="str">
        <f t="shared" si="112"/>
        <v>-</v>
      </c>
      <c r="AF233" s="105" t="str">
        <f t="shared" si="112"/>
        <v>-</v>
      </c>
      <c r="AG233" s="105" t="str">
        <f t="shared" si="112"/>
        <v>-</v>
      </c>
      <c r="AH233" s="105" t="str">
        <f t="shared" si="112"/>
        <v>-</v>
      </c>
      <c r="AI233" s="105" t="str">
        <f t="shared" si="112"/>
        <v>-</v>
      </c>
      <c r="AJ233" s="105" t="str">
        <f t="shared" si="112"/>
        <v>-</v>
      </c>
      <c r="AK233" s="105" t="str">
        <f t="shared" si="112"/>
        <v>-</v>
      </c>
      <c r="AL233" s="106" t="str">
        <f t="shared" si="112"/>
        <v>-</v>
      </c>
    </row>
    <row r="234" spans="2:39" ht="15" hidden="1" outlineLevel="2">
      <c r="B234" s="286"/>
      <c r="C234" s="286"/>
      <c r="D234" s="8" t="s">
        <v>21</v>
      </c>
      <c r="E234" s="398" t="s">
        <v>426</v>
      </c>
      <c r="F234" s="110">
        <f t="shared" ref="F234:I235" si="113">+IF(E16&lt;&gt;0,F16/E16,"-")</f>
        <v>1.1866362805165422</v>
      </c>
      <c r="G234" s="110">
        <f t="shared" si="113"/>
        <v>0.92769449265250481</v>
      </c>
      <c r="H234" s="111">
        <f>+IF(F16&lt;&gt;0,H16/F16,"-")</f>
        <v>0.82673261595188707</v>
      </c>
      <c r="I234" s="98">
        <f t="shared" si="113"/>
        <v>1.1038694983308261</v>
      </c>
      <c r="J234" s="99">
        <f t="shared" ref="J234:AL234" si="114">+IF(I16&lt;&gt;0,J16/I16,"-")</f>
        <v>0.9445129734046217</v>
      </c>
      <c r="K234" s="99">
        <f t="shared" si="114"/>
        <v>0.91177441513057855</v>
      </c>
      <c r="L234" s="99">
        <f t="shared" si="114"/>
        <v>1.0025114285714285</v>
      </c>
      <c r="M234" s="99">
        <f t="shared" si="114"/>
        <v>1.0053191556063485</v>
      </c>
      <c r="N234" s="99">
        <f t="shared" si="114"/>
        <v>1.0174697114388855</v>
      </c>
      <c r="O234" s="99">
        <f t="shared" si="114"/>
        <v>0.97901193214724203</v>
      </c>
      <c r="P234" s="99">
        <f t="shared" si="114"/>
        <v>0.99653151152261965</v>
      </c>
      <c r="Q234" s="99">
        <f t="shared" si="114"/>
        <v>1.0374252383693199</v>
      </c>
      <c r="R234" s="99">
        <f t="shared" si="114"/>
        <v>1.0243291254302349</v>
      </c>
      <c r="S234" s="99">
        <f t="shared" si="114"/>
        <v>1.0219859933944411</v>
      </c>
      <c r="T234" s="99">
        <f t="shared" si="114"/>
        <v>1.0299106173645671</v>
      </c>
      <c r="U234" s="99">
        <f t="shared" si="114"/>
        <v>1.0730195891231364</v>
      </c>
      <c r="V234" s="99">
        <f t="shared" si="114"/>
        <v>0</v>
      </c>
      <c r="W234" s="99" t="str">
        <f t="shared" si="114"/>
        <v>-</v>
      </c>
      <c r="X234" s="99" t="str">
        <f t="shared" si="114"/>
        <v>-</v>
      </c>
      <c r="Y234" s="99" t="str">
        <f t="shared" si="114"/>
        <v>-</v>
      </c>
      <c r="Z234" s="99" t="str">
        <f t="shared" si="114"/>
        <v>-</v>
      </c>
      <c r="AA234" s="99" t="str">
        <f t="shared" si="114"/>
        <v>-</v>
      </c>
      <c r="AB234" s="99" t="str">
        <f t="shared" si="114"/>
        <v>-</v>
      </c>
      <c r="AC234" s="99" t="str">
        <f t="shared" si="114"/>
        <v>-</v>
      </c>
      <c r="AD234" s="99" t="str">
        <f t="shared" si="114"/>
        <v>-</v>
      </c>
      <c r="AE234" s="99" t="str">
        <f t="shared" si="114"/>
        <v>-</v>
      </c>
      <c r="AF234" s="99" t="str">
        <f t="shared" si="114"/>
        <v>-</v>
      </c>
      <c r="AG234" s="99" t="str">
        <f t="shared" si="114"/>
        <v>-</v>
      </c>
      <c r="AH234" s="99" t="str">
        <f t="shared" si="114"/>
        <v>-</v>
      </c>
      <c r="AI234" s="99" t="str">
        <f t="shared" si="114"/>
        <v>-</v>
      </c>
      <c r="AJ234" s="99" t="str">
        <f t="shared" si="114"/>
        <v>-</v>
      </c>
      <c r="AK234" s="99" t="str">
        <f t="shared" si="114"/>
        <v>-</v>
      </c>
      <c r="AL234" s="100" t="str">
        <f t="shared" si="114"/>
        <v>-</v>
      </c>
      <c r="AM234" s="43"/>
    </row>
    <row r="235" spans="2:39" hidden="1" outlineLevel="2">
      <c r="D235" s="9" t="s">
        <v>222</v>
      </c>
      <c r="E235" s="399" t="s">
        <v>426</v>
      </c>
      <c r="F235" s="112">
        <f t="shared" si="113"/>
        <v>0.99559345091656914</v>
      </c>
      <c r="G235" s="112">
        <f t="shared" si="113"/>
        <v>1.1206938469171857</v>
      </c>
      <c r="H235" s="113">
        <f>+IF(F17&lt;&gt;0,H17/F17,"-")</f>
        <v>1.0952523328441779</v>
      </c>
      <c r="I235" s="101">
        <f t="shared" si="113"/>
        <v>1.0914800117853676</v>
      </c>
      <c r="J235" s="102">
        <f t="shared" ref="J235:AL235" si="115">+IF(I17&lt;&gt;0,J17/I17,"-")</f>
        <v>0.96397545956302955</v>
      </c>
      <c r="K235" s="102">
        <f t="shared" si="115"/>
        <v>1.0000424015682927</v>
      </c>
      <c r="L235" s="102">
        <f t="shared" si="115"/>
        <v>1.0044771699664852</v>
      </c>
      <c r="M235" s="102">
        <f t="shared" si="115"/>
        <v>1.0114639599724295</v>
      </c>
      <c r="N235" s="102">
        <f t="shared" si="115"/>
        <v>1.0125383385884867</v>
      </c>
      <c r="O235" s="102">
        <f t="shared" si="115"/>
        <v>1.0191507353966736</v>
      </c>
      <c r="P235" s="102">
        <f t="shared" si="115"/>
        <v>1.0116227179195871</v>
      </c>
      <c r="Q235" s="102">
        <f t="shared" si="115"/>
        <v>0.98299058716121168</v>
      </c>
      <c r="R235" s="102">
        <f t="shared" si="115"/>
        <v>1.025163963664063</v>
      </c>
      <c r="S235" s="102">
        <f t="shared" si="115"/>
        <v>1.0249469486032434</v>
      </c>
      <c r="T235" s="102">
        <f t="shared" si="115"/>
        <v>1.0246437160722874</v>
      </c>
      <c r="U235" s="102">
        <f t="shared" si="115"/>
        <v>1.0247560062515741</v>
      </c>
      <c r="V235" s="102">
        <f t="shared" si="115"/>
        <v>0</v>
      </c>
      <c r="W235" s="102" t="str">
        <f t="shared" si="115"/>
        <v>-</v>
      </c>
      <c r="X235" s="102" t="str">
        <f t="shared" si="115"/>
        <v>-</v>
      </c>
      <c r="Y235" s="102" t="str">
        <f t="shared" si="115"/>
        <v>-</v>
      </c>
      <c r="Z235" s="102" t="str">
        <f t="shared" si="115"/>
        <v>-</v>
      </c>
      <c r="AA235" s="102" t="str">
        <f t="shared" si="115"/>
        <v>-</v>
      </c>
      <c r="AB235" s="102" t="str">
        <f t="shared" si="115"/>
        <v>-</v>
      </c>
      <c r="AC235" s="102" t="str">
        <f t="shared" si="115"/>
        <v>-</v>
      </c>
      <c r="AD235" s="102" t="str">
        <f t="shared" si="115"/>
        <v>-</v>
      </c>
      <c r="AE235" s="102" t="str">
        <f t="shared" si="115"/>
        <v>-</v>
      </c>
      <c r="AF235" s="102" t="str">
        <f t="shared" si="115"/>
        <v>-</v>
      </c>
      <c r="AG235" s="102" t="str">
        <f t="shared" si="115"/>
        <v>-</v>
      </c>
      <c r="AH235" s="102" t="str">
        <f t="shared" si="115"/>
        <v>-</v>
      </c>
      <c r="AI235" s="102" t="str">
        <f t="shared" si="115"/>
        <v>-</v>
      </c>
      <c r="AJ235" s="102" t="str">
        <f t="shared" si="115"/>
        <v>-</v>
      </c>
      <c r="AK235" s="102" t="str">
        <f t="shared" si="115"/>
        <v>-</v>
      </c>
      <c r="AL235" s="103" t="str">
        <f t="shared" si="115"/>
        <v>-</v>
      </c>
    </row>
    <row r="236" spans="2:39" hidden="1" outlineLevel="2">
      <c r="D236" s="10" t="s">
        <v>395</v>
      </c>
      <c r="E236" s="399" t="s">
        <v>426</v>
      </c>
      <c r="F236" s="112">
        <f>+IF((E17-E21)&lt;&gt;0,(F17-F21)/(E17-E21),"-")</f>
        <v>0.97087684026042576</v>
      </c>
      <c r="G236" s="112">
        <f>+IF((F17-F21)&lt;&gt;0,(G17-G21)/(F17-F21),"-")</f>
        <v>1.1093528136671487</v>
      </c>
      <c r="H236" s="113">
        <f>+IF((F17-F21)&lt;&gt;0,(H17-H21)/(F17-F21),"-")</f>
        <v>1.0818420186516327</v>
      </c>
      <c r="I236" s="101">
        <f>+IF((H17-H21)&lt;&gt;0,(I17-I21)/(H17-H21),"-")</f>
        <v>1.0907625440878757</v>
      </c>
      <c r="J236" s="102">
        <f t="shared" ref="J236:AL236" si="116">+IF((I17-I21)&lt;&gt;0,(J17-J21)/(I17-I21),"-")</f>
        <v>0.97589012519219664</v>
      </c>
      <c r="K236" s="102">
        <f t="shared" si="116"/>
        <v>0.99400177434523718</v>
      </c>
      <c r="L236" s="102">
        <f t="shared" si="116"/>
        <v>1.0075412672592228</v>
      </c>
      <c r="M236" s="102">
        <f t="shared" si="116"/>
        <v>1.014631538256707</v>
      </c>
      <c r="N236" s="102">
        <f t="shared" si="116"/>
        <v>1.0152287088463621</v>
      </c>
      <c r="O236" s="102">
        <f t="shared" si="116"/>
        <v>1.021985313778091</v>
      </c>
      <c r="P236" s="102">
        <f t="shared" si="116"/>
        <v>1.0163061798735633</v>
      </c>
      <c r="Q236" s="102">
        <f t="shared" si="116"/>
        <v>0.98720347282498655</v>
      </c>
      <c r="R236" s="102">
        <f t="shared" si="116"/>
        <v>1.0299999446834947</v>
      </c>
      <c r="S236" s="102">
        <f t="shared" si="116"/>
        <v>1.0299999824873864</v>
      </c>
      <c r="T236" s="102">
        <f t="shared" si="116"/>
        <v>1.0300000708439068</v>
      </c>
      <c r="U236" s="102">
        <f t="shared" si="116"/>
        <v>1.0282419283759623</v>
      </c>
      <c r="V236" s="102">
        <f t="shared" si="116"/>
        <v>0</v>
      </c>
      <c r="W236" s="102" t="str">
        <f t="shared" si="116"/>
        <v>-</v>
      </c>
      <c r="X236" s="102" t="str">
        <f t="shared" si="116"/>
        <v>-</v>
      </c>
      <c r="Y236" s="102" t="str">
        <f t="shared" si="116"/>
        <v>-</v>
      </c>
      <c r="Z236" s="102" t="str">
        <f t="shared" si="116"/>
        <v>-</v>
      </c>
      <c r="AA236" s="102" t="str">
        <f t="shared" si="116"/>
        <v>-</v>
      </c>
      <c r="AB236" s="102" t="str">
        <f t="shared" si="116"/>
        <v>-</v>
      </c>
      <c r="AC236" s="102" t="str">
        <f t="shared" si="116"/>
        <v>-</v>
      </c>
      <c r="AD236" s="102" t="str">
        <f t="shared" si="116"/>
        <v>-</v>
      </c>
      <c r="AE236" s="102" t="str">
        <f t="shared" si="116"/>
        <v>-</v>
      </c>
      <c r="AF236" s="102" t="str">
        <f t="shared" si="116"/>
        <v>-</v>
      </c>
      <c r="AG236" s="102" t="str">
        <f t="shared" si="116"/>
        <v>-</v>
      </c>
      <c r="AH236" s="102" t="str">
        <f t="shared" si="116"/>
        <v>-</v>
      </c>
      <c r="AI236" s="102" t="str">
        <f t="shared" si="116"/>
        <v>-</v>
      </c>
      <c r="AJ236" s="102" t="str">
        <f t="shared" si="116"/>
        <v>-</v>
      </c>
      <c r="AK236" s="102" t="str">
        <f t="shared" si="116"/>
        <v>-</v>
      </c>
      <c r="AL236" s="103" t="str">
        <f t="shared" si="116"/>
        <v>-</v>
      </c>
    </row>
    <row r="237" spans="2:39" ht="24" hidden="1" outlineLevel="2">
      <c r="D237" s="10" t="s">
        <v>397</v>
      </c>
      <c r="E237" s="399" t="s">
        <v>426</v>
      </c>
      <c r="F237" s="112" t="str">
        <f>+IF(E78&lt;&gt;0,F78/E78,"-")</f>
        <v>-</v>
      </c>
      <c r="G237" s="112" t="str">
        <f>+IF(F78&lt;&gt;0,G78/F78,"-")</f>
        <v>-</v>
      </c>
      <c r="H237" s="113" t="str">
        <f>+IF(F78&lt;&gt;0,H78/F78,"-")</f>
        <v>-</v>
      </c>
      <c r="I237" s="101" t="str">
        <f>+IF(H78&lt;&gt;0,I78/H78,"-")</f>
        <v>-</v>
      </c>
      <c r="J237" s="102">
        <f t="shared" ref="J237:AL237" si="117">+IF(I78&lt;&gt;0,J78/I78,"-")</f>
        <v>5.7314226930463223E-2</v>
      </c>
      <c r="K237" s="102">
        <f t="shared" si="117"/>
        <v>0</v>
      </c>
      <c r="L237" s="102" t="str">
        <f t="shared" si="117"/>
        <v>-</v>
      </c>
      <c r="M237" s="102" t="str">
        <f t="shared" si="117"/>
        <v>-</v>
      </c>
      <c r="N237" s="102" t="str">
        <f t="shared" si="117"/>
        <v>-</v>
      </c>
      <c r="O237" s="102" t="str">
        <f t="shared" si="117"/>
        <v>-</v>
      </c>
      <c r="P237" s="102" t="str">
        <f t="shared" si="117"/>
        <v>-</v>
      </c>
      <c r="Q237" s="102" t="str">
        <f t="shared" si="117"/>
        <v>-</v>
      </c>
      <c r="R237" s="102" t="str">
        <f t="shared" si="117"/>
        <v>-</v>
      </c>
      <c r="S237" s="102" t="str">
        <f t="shared" si="117"/>
        <v>-</v>
      </c>
      <c r="T237" s="102" t="str">
        <f t="shared" si="117"/>
        <v>-</v>
      </c>
      <c r="U237" s="102" t="str">
        <f t="shared" si="117"/>
        <v>-</v>
      </c>
      <c r="V237" s="102" t="str">
        <f t="shared" si="117"/>
        <v>-</v>
      </c>
      <c r="W237" s="102" t="str">
        <f t="shared" si="117"/>
        <v>-</v>
      </c>
      <c r="X237" s="102" t="str">
        <f t="shared" si="117"/>
        <v>-</v>
      </c>
      <c r="Y237" s="102" t="str">
        <f t="shared" si="117"/>
        <v>-</v>
      </c>
      <c r="Z237" s="102" t="str">
        <f t="shared" si="117"/>
        <v>-</v>
      </c>
      <c r="AA237" s="102" t="str">
        <f t="shared" si="117"/>
        <v>-</v>
      </c>
      <c r="AB237" s="102" t="str">
        <f t="shared" si="117"/>
        <v>-</v>
      </c>
      <c r="AC237" s="102" t="str">
        <f t="shared" si="117"/>
        <v>-</v>
      </c>
      <c r="AD237" s="102" t="str">
        <f t="shared" si="117"/>
        <v>-</v>
      </c>
      <c r="AE237" s="102" t="str">
        <f t="shared" si="117"/>
        <v>-</v>
      </c>
      <c r="AF237" s="102" t="str">
        <f t="shared" si="117"/>
        <v>-</v>
      </c>
      <c r="AG237" s="102" t="str">
        <f t="shared" si="117"/>
        <v>-</v>
      </c>
      <c r="AH237" s="102" t="str">
        <f t="shared" si="117"/>
        <v>-</v>
      </c>
      <c r="AI237" s="102" t="str">
        <f t="shared" si="117"/>
        <v>-</v>
      </c>
      <c r="AJ237" s="102" t="str">
        <f t="shared" si="117"/>
        <v>-</v>
      </c>
      <c r="AK237" s="102" t="str">
        <f t="shared" si="117"/>
        <v>-</v>
      </c>
      <c r="AL237" s="103" t="str">
        <f t="shared" si="117"/>
        <v>-</v>
      </c>
    </row>
    <row r="238" spans="2:39" hidden="1" outlineLevel="2">
      <c r="D238" s="10" t="s">
        <v>223</v>
      </c>
      <c r="E238" s="399" t="s">
        <v>426</v>
      </c>
      <c r="F238" s="112" t="str">
        <f t="shared" ref="F238:I239" si="118">+IF(E18&lt;&gt;0,F18/E18,"-")</f>
        <v>-</v>
      </c>
      <c r="G238" s="112" t="str">
        <f t="shared" si="118"/>
        <v>-</v>
      </c>
      <c r="H238" s="113" t="str">
        <f>+IF(F18&lt;&gt;0,H18/F18,"-")</f>
        <v>-</v>
      </c>
      <c r="I238" s="101" t="str">
        <f t="shared" si="118"/>
        <v>-</v>
      </c>
      <c r="J238" s="102" t="str">
        <f t="shared" ref="J238:AL238" si="119">+IF(I18&lt;&gt;0,J18/I18,"-")</f>
        <v>-</v>
      </c>
      <c r="K238" s="102" t="str">
        <f t="shared" si="119"/>
        <v>-</v>
      </c>
      <c r="L238" s="102" t="str">
        <f t="shared" si="119"/>
        <v>-</v>
      </c>
      <c r="M238" s="102" t="str">
        <f t="shared" si="119"/>
        <v>-</v>
      </c>
      <c r="N238" s="102" t="str">
        <f t="shared" si="119"/>
        <v>-</v>
      </c>
      <c r="O238" s="102" t="str">
        <f t="shared" si="119"/>
        <v>-</v>
      </c>
      <c r="P238" s="102" t="str">
        <f t="shared" si="119"/>
        <v>-</v>
      </c>
      <c r="Q238" s="102" t="str">
        <f t="shared" si="119"/>
        <v>-</v>
      </c>
      <c r="R238" s="102" t="str">
        <f t="shared" si="119"/>
        <v>-</v>
      </c>
      <c r="S238" s="102" t="str">
        <f t="shared" si="119"/>
        <v>-</v>
      </c>
      <c r="T238" s="102" t="str">
        <f t="shared" si="119"/>
        <v>-</v>
      </c>
      <c r="U238" s="102" t="str">
        <f t="shared" si="119"/>
        <v>-</v>
      </c>
      <c r="V238" s="102" t="str">
        <f t="shared" si="119"/>
        <v>-</v>
      </c>
      <c r="W238" s="102" t="str">
        <f t="shared" si="119"/>
        <v>-</v>
      </c>
      <c r="X238" s="102" t="str">
        <f t="shared" si="119"/>
        <v>-</v>
      </c>
      <c r="Y238" s="102" t="str">
        <f t="shared" si="119"/>
        <v>-</v>
      </c>
      <c r="Z238" s="102" t="str">
        <f t="shared" si="119"/>
        <v>-</v>
      </c>
      <c r="AA238" s="102" t="str">
        <f t="shared" si="119"/>
        <v>-</v>
      </c>
      <c r="AB238" s="102" t="str">
        <f t="shared" si="119"/>
        <v>-</v>
      </c>
      <c r="AC238" s="102" t="str">
        <f t="shared" si="119"/>
        <v>-</v>
      </c>
      <c r="AD238" s="102" t="str">
        <f t="shared" si="119"/>
        <v>-</v>
      </c>
      <c r="AE238" s="102" t="str">
        <f t="shared" si="119"/>
        <v>-</v>
      </c>
      <c r="AF238" s="102" t="str">
        <f t="shared" si="119"/>
        <v>-</v>
      </c>
      <c r="AG238" s="102" t="str">
        <f t="shared" si="119"/>
        <v>-</v>
      </c>
      <c r="AH238" s="102" t="str">
        <f t="shared" si="119"/>
        <v>-</v>
      </c>
      <c r="AI238" s="102" t="str">
        <f t="shared" si="119"/>
        <v>-</v>
      </c>
      <c r="AJ238" s="102" t="str">
        <f t="shared" si="119"/>
        <v>-</v>
      </c>
      <c r="AK238" s="102" t="str">
        <f t="shared" si="119"/>
        <v>-</v>
      </c>
      <c r="AL238" s="103" t="str">
        <f t="shared" si="119"/>
        <v>-</v>
      </c>
    </row>
    <row r="239" spans="2:39" ht="24" hidden="1" outlineLevel="2">
      <c r="D239" s="12" t="s">
        <v>396</v>
      </c>
      <c r="E239" s="399" t="s">
        <v>426</v>
      </c>
      <c r="F239" s="112" t="str">
        <f t="shared" si="118"/>
        <v>-</v>
      </c>
      <c r="G239" s="112" t="str">
        <f t="shared" si="118"/>
        <v>-</v>
      </c>
      <c r="H239" s="113" t="str">
        <f>+IF(F19&lt;&gt;0,H19/F19,"-")</f>
        <v>-</v>
      </c>
      <c r="I239" s="101" t="str">
        <f t="shared" si="118"/>
        <v>-</v>
      </c>
      <c r="J239" s="102" t="str">
        <f t="shared" ref="J239:AL239" si="120">+IF(I19&lt;&gt;0,J19/I19,"-")</f>
        <v>-</v>
      </c>
      <c r="K239" s="102" t="str">
        <f t="shared" si="120"/>
        <v>-</v>
      </c>
      <c r="L239" s="102" t="str">
        <f t="shared" si="120"/>
        <v>-</v>
      </c>
      <c r="M239" s="102" t="str">
        <f t="shared" si="120"/>
        <v>-</v>
      </c>
      <c r="N239" s="102" t="str">
        <f t="shared" si="120"/>
        <v>-</v>
      </c>
      <c r="O239" s="102" t="str">
        <f t="shared" si="120"/>
        <v>-</v>
      </c>
      <c r="P239" s="102" t="str">
        <f t="shared" si="120"/>
        <v>-</v>
      </c>
      <c r="Q239" s="102" t="str">
        <f t="shared" si="120"/>
        <v>-</v>
      </c>
      <c r="R239" s="102" t="str">
        <f t="shared" si="120"/>
        <v>-</v>
      </c>
      <c r="S239" s="102" t="str">
        <f t="shared" si="120"/>
        <v>-</v>
      </c>
      <c r="T239" s="102" t="str">
        <f t="shared" si="120"/>
        <v>-</v>
      </c>
      <c r="U239" s="102" t="str">
        <f t="shared" si="120"/>
        <v>-</v>
      </c>
      <c r="V239" s="102" t="str">
        <f t="shared" si="120"/>
        <v>-</v>
      </c>
      <c r="W239" s="102" t="str">
        <f t="shared" si="120"/>
        <v>-</v>
      </c>
      <c r="X239" s="102" t="str">
        <f t="shared" si="120"/>
        <v>-</v>
      </c>
      <c r="Y239" s="102" t="str">
        <f t="shared" si="120"/>
        <v>-</v>
      </c>
      <c r="Z239" s="102" t="str">
        <f t="shared" si="120"/>
        <v>-</v>
      </c>
      <c r="AA239" s="102" t="str">
        <f t="shared" si="120"/>
        <v>-</v>
      </c>
      <c r="AB239" s="102" t="str">
        <f t="shared" si="120"/>
        <v>-</v>
      </c>
      <c r="AC239" s="102" t="str">
        <f t="shared" si="120"/>
        <v>-</v>
      </c>
      <c r="AD239" s="102" t="str">
        <f t="shared" si="120"/>
        <v>-</v>
      </c>
      <c r="AE239" s="102" t="str">
        <f t="shared" si="120"/>
        <v>-</v>
      </c>
      <c r="AF239" s="102" t="str">
        <f t="shared" si="120"/>
        <v>-</v>
      </c>
      <c r="AG239" s="102" t="str">
        <f t="shared" si="120"/>
        <v>-</v>
      </c>
      <c r="AH239" s="102" t="str">
        <f t="shared" si="120"/>
        <v>-</v>
      </c>
      <c r="AI239" s="102" t="str">
        <f t="shared" si="120"/>
        <v>-</v>
      </c>
      <c r="AJ239" s="102" t="str">
        <f t="shared" si="120"/>
        <v>-</v>
      </c>
      <c r="AK239" s="102" t="str">
        <f t="shared" si="120"/>
        <v>-</v>
      </c>
      <c r="AL239" s="103" t="str">
        <f t="shared" si="120"/>
        <v>-</v>
      </c>
    </row>
    <row r="240" spans="2:39" hidden="1" outlineLevel="2">
      <c r="D240" s="10" t="s">
        <v>398</v>
      </c>
      <c r="E240" s="399" t="s">
        <v>426</v>
      </c>
      <c r="F240" s="112">
        <f t="shared" ref="F240:I242" si="121">+IF(E21&lt;&gt;0,F21/E21,"-")</f>
        <v>3.8739663770224353</v>
      </c>
      <c r="G240" s="112">
        <f t="shared" si="121"/>
        <v>1.4516870400271833</v>
      </c>
      <c r="H240" s="113">
        <f>+IF(F21&lt;&gt;0,H21/F21,"-")</f>
        <v>1.4866384276856162</v>
      </c>
      <c r="I240" s="101">
        <f t="shared" si="121"/>
        <v>1.1067179876836231</v>
      </c>
      <c r="J240" s="102">
        <f t="shared" ref="J240:AL240" si="122">+IF(I21&lt;&gt;0,J21/I21,"-")</f>
        <v>0.7145733996803908</v>
      </c>
      <c r="K240" s="102">
        <f t="shared" si="122"/>
        <v>1.1727272727272726</v>
      </c>
      <c r="L240" s="102">
        <f t="shared" si="122"/>
        <v>0.93023255813953487</v>
      </c>
      <c r="M240" s="102">
        <f t="shared" si="122"/>
        <v>0.92833333333333334</v>
      </c>
      <c r="N240" s="102">
        <f t="shared" si="122"/>
        <v>0.93536804308797128</v>
      </c>
      <c r="O240" s="102">
        <f t="shared" si="122"/>
        <v>0.93090211132437617</v>
      </c>
      <c r="P240" s="102">
        <f t="shared" si="122"/>
        <v>0.85154639175257729</v>
      </c>
      <c r="Q240" s="102">
        <f t="shared" si="122"/>
        <v>0.81113801452784506</v>
      </c>
      <c r="R240" s="102">
        <f t="shared" si="122"/>
        <v>0.78507462686567164</v>
      </c>
      <c r="S240" s="102">
        <f t="shared" si="122"/>
        <v>0.69581749049429653</v>
      </c>
      <c r="T240" s="102">
        <f t="shared" si="122"/>
        <v>0.50819672131147542</v>
      </c>
      <c r="U240" s="102">
        <f t="shared" si="122"/>
        <v>0.34354838709677421</v>
      </c>
      <c r="V240" s="102">
        <f t="shared" si="122"/>
        <v>0</v>
      </c>
      <c r="W240" s="102" t="str">
        <f t="shared" si="122"/>
        <v>-</v>
      </c>
      <c r="X240" s="102" t="str">
        <f t="shared" si="122"/>
        <v>-</v>
      </c>
      <c r="Y240" s="102" t="str">
        <f t="shared" si="122"/>
        <v>-</v>
      </c>
      <c r="Z240" s="102" t="str">
        <f t="shared" si="122"/>
        <v>-</v>
      </c>
      <c r="AA240" s="102" t="str">
        <f t="shared" si="122"/>
        <v>-</v>
      </c>
      <c r="AB240" s="102" t="str">
        <f t="shared" si="122"/>
        <v>-</v>
      </c>
      <c r="AC240" s="102" t="str">
        <f t="shared" si="122"/>
        <v>-</v>
      </c>
      <c r="AD240" s="102" t="str">
        <f t="shared" si="122"/>
        <v>-</v>
      </c>
      <c r="AE240" s="102" t="str">
        <f t="shared" si="122"/>
        <v>-</v>
      </c>
      <c r="AF240" s="102" t="str">
        <f t="shared" si="122"/>
        <v>-</v>
      </c>
      <c r="AG240" s="102" t="str">
        <f t="shared" si="122"/>
        <v>-</v>
      </c>
      <c r="AH240" s="102" t="str">
        <f t="shared" si="122"/>
        <v>-</v>
      </c>
      <c r="AI240" s="102" t="str">
        <f t="shared" si="122"/>
        <v>-</v>
      </c>
      <c r="AJ240" s="102" t="str">
        <f t="shared" si="122"/>
        <v>-</v>
      </c>
      <c r="AK240" s="102" t="str">
        <f t="shared" si="122"/>
        <v>-</v>
      </c>
      <c r="AL240" s="103" t="str">
        <f t="shared" si="122"/>
        <v>-</v>
      </c>
    </row>
    <row r="241" spans="4:38" hidden="1" outlineLevel="2">
      <c r="D241" s="12" t="s">
        <v>399</v>
      </c>
      <c r="E241" s="399" t="s">
        <v>426</v>
      </c>
      <c r="F241" s="112">
        <f t="shared" si="121"/>
        <v>4.1187762209825189</v>
      </c>
      <c r="G241" s="112">
        <f t="shared" si="121"/>
        <v>1.521715246350966</v>
      </c>
      <c r="H241" s="113">
        <f>+IF(F22&lt;&gt;0,H22/F22,"-")</f>
        <v>1.5589002068684001</v>
      </c>
      <c r="I241" s="101">
        <f t="shared" si="121"/>
        <v>1.1082748445754274</v>
      </c>
      <c r="J241" s="102">
        <f t="shared" ref="J241:AL241" si="123">+IF(I22&lt;&gt;0,J22/I22,"-")</f>
        <v>0.72397951796127369</v>
      </c>
      <c r="K241" s="102">
        <f t="shared" si="123"/>
        <v>1.1727272727272726</v>
      </c>
      <c r="L241" s="102">
        <f t="shared" si="123"/>
        <v>0.93023255813953487</v>
      </c>
      <c r="M241" s="102">
        <f t="shared" si="123"/>
        <v>0.92833333333333334</v>
      </c>
      <c r="N241" s="102">
        <f t="shared" si="123"/>
        <v>0.93536804308797128</v>
      </c>
      <c r="O241" s="102">
        <f t="shared" si="123"/>
        <v>0.93090211132437617</v>
      </c>
      <c r="P241" s="102">
        <f t="shared" si="123"/>
        <v>0.85154639175257729</v>
      </c>
      <c r="Q241" s="102">
        <f t="shared" si="123"/>
        <v>0.81113801452784506</v>
      </c>
      <c r="R241" s="102">
        <f t="shared" si="123"/>
        <v>0.78507462686567164</v>
      </c>
      <c r="S241" s="102">
        <f t="shared" si="123"/>
        <v>0.69581749049429653</v>
      </c>
      <c r="T241" s="102">
        <f t="shared" si="123"/>
        <v>0.50819672131147542</v>
      </c>
      <c r="U241" s="102">
        <f t="shared" si="123"/>
        <v>0.34354838709677421</v>
      </c>
      <c r="V241" s="102">
        <f t="shared" si="123"/>
        <v>0</v>
      </c>
      <c r="W241" s="102" t="str">
        <f t="shared" si="123"/>
        <v>-</v>
      </c>
      <c r="X241" s="102" t="str">
        <f t="shared" si="123"/>
        <v>-</v>
      </c>
      <c r="Y241" s="102" t="str">
        <f t="shared" si="123"/>
        <v>-</v>
      </c>
      <c r="Z241" s="102" t="str">
        <f t="shared" si="123"/>
        <v>-</v>
      </c>
      <c r="AA241" s="102" t="str">
        <f t="shared" si="123"/>
        <v>-</v>
      </c>
      <c r="AB241" s="102" t="str">
        <f t="shared" si="123"/>
        <v>-</v>
      </c>
      <c r="AC241" s="102" t="str">
        <f t="shared" si="123"/>
        <v>-</v>
      </c>
      <c r="AD241" s="102" t="str">
        <f t="shared" si="123"/>
        <v>-</v>
      </c>
      <c r="AE241" s="102" t="str">
        <f t="shared" si="123"/>
        <v>-</v>
      </c>
      <c r="AF241" s="102" t="str">
        <f t="shared" si="123"/>
        <v>-</v>
      </c>
      <c r="AG241" s="102" t="str">
        <f t="shared" si="123"/>
        <v>-</v>
      </c>
      <c r="AH241" s="102" t="str">
        <f t="shared" si="123"/>
        <v>-</v>
      </c>
      <c r="AI241" s="102" t="str">
        <f t="shared" si="123"/>
        <v>-</v>
      </c>
      <c r="AJ241" s="102" t="str">
        <f t="shared" si="123"/>
        <v>-</v>
      </c>
      <c r="AK241" s="102" t="str">
        <f t="shared" si="123"/>
        <v>-</v>
      </c>
      <c r="AL241" s="103" t="str">
        <f t="shared" si="123"/>
        <v>-</v>
      </c>
    </row>
    <row r="242" spans="4:38" hidden="1" outlineLevel="2">
      <c r="D242" s="9" t="s">
        <v>400</v>
      </c>
      <c r="E242" s="399" t="s">
        <v>426</v>
      </c>
      <c r="F242" s="112">
        <f t="shared" si="121"/>
        <v>1.7781377474527778</v>
      </c>
      <c r="G242" s="112">
        <f t="shared" si="121"/>
        <v>0.59311634718349016</v>
      </c>
      <c r="H242" s="113">
        <f>+IF(F23&lt;&gt;0,H23/F23,"-")</f>
        <v>0.36123453570194425</v>
      </c>
      <c r="I242" s="101">
        <f t="shared" si="121"/>
        <v>1.1689903309500587</v>
      </c>
      <c r="J242" s="102">
        <f t="shared" ref="J242:AL242" si="124">+IF(I23&lt;&gt;0,J23/I23,"-")</f>
        <v>0.8489983602838822</v>
      </c>
      <c r="K242" s="102">
        <f t="shared" si="124"/>
        <v>0.4199230848514961</v>
      </c>
      <c r="L242" s="102">
        <f t="shared" si="124"/>
        <v>0.97642553739744786</v>
      </c>
      <c r="M242" s="102">
        <f t="shared" si="124"/>
        <v>0.92143338536199171</v>
      </c>
      <c r="N242" s="102">
        <f t="shared" si="124"/>
        <v>1.0913680279877462</v>
      </c>
      <c r="O242" s="102">
        <f t="shared" si="124"/>
        <v>0.42096416559398747</v>
      </c>
      <c r="P242" s="102">
        <f t="shared" si="124"/>
        <v>0.4885777188580086</v>
      </c>
      <c r="Q242" s="102">
        <f t="shared" si="124"/>
        <v>4.8311044891828381</v>
      </c>
      <c r="R242" s="102">
        <f t="shared" si="124"/>
        <v>1.0124907959257188</v>
      </c>
      <c r="S242" s="102">
        <f t="shared" si="124"/>
        <v>0.9794729517114541</v>
      </c>
      <c r="T242" s="102">
        <f t="shared" si="124"/>
        <v>1.1090430395791528</v>
      </c>
      <c r="U242" s="102">
        <f t="shared" si="124"/>
        <v>1.7429710208253384</v>
      </c>
      <c r="V242" s="102">
        <f t="shared" si="124"/>
        <v>0</v>
      </c>
      <c r="W242" s="102" t="str">
        <f t="shared" si="124"/>
        <v>-</v>
      </c>
      <c r="X242" s="102" t="str">
        <f t="shared" si="124"/>
        <v>-</v>
      </c>
      <c r="Y242" s="102" t="str">
        <f t="shared" si="124"/>
        <v>-</v>
      </c>
      <c r="Z242" s="102" t="str">
        <f t="shared" si="124"/>
        <v>-</v>
      </c>
      <c r="AA242" s="102" t="str">
        <f t="shared" si="124"/>
        <v>-</v>
      </c>
      <c r="AB242" s="102" t="str">
        <f t="shared" si="124"/>
        <v>-</v>
      </c>
      <c r="AC242" s="102" t="str">
        <f t="shared" si="124"/>
        <v>-</v>
      </c>
      <c r="AD242" s="102" t="str">
        <f t="shared" si="124"/>
        <v>-</v>
      </c>
      <c r="AE242" s="102" t="str">
        <f t="shared" si="124"/>
        <v>-</v>
      </c>
      <c r="AF242" s="102" t="str">
        <f t="shared" si="124"/>
        <v>-</v>
      </c>
      <c r="AG242" s="102" t="str">
        <f t="shared" si="124"/>
        <v>-</v>
      </c>
      <c r="AH242" s="102" t="str">
        <f t="shared" si="124"/>
        <v>-</v>
      </c>
      <c r="AI242" s="102" t="str">
        <f t="shared" si="124"/>
        <v>-</v>
      </c>
      <c r="AJ242" s="102" t="str">
        <f t="shared" si="124"/>
        <v>-</v>
      </c>
      <c r="AK242" s="102" t="str">
        <f t="shared" si="124"/>
        <v>-</v>
      </c>
      <c r="AL242" s="103" t="str">
        <f t="shared" si="124"/>
        <v>-</v>
      </c>
    </row>
    <row r="243" spans="4:38" ht="24" hidden="1" outlineLevel="2">
      <c r="D243" s="14" t="s">
        <v>397</v>
      </c>
      <c r="E243" s="402" t="s">
        <v>426</v>
      </c>
      <c r="F243" s="118" t="str">
        <f>+IF(E81&lt;&gt;0,F81/E81,"-")</f>
        <v>-</v>
      </c>
      <c r="G243" s="118" t="str">
        <f>+IF(F81&lt;&gt;0,G81/F81,"-")</f>
        <v>-</v>
      </c>
      <c r="H243" s="119" t="str">
        <f>+IF(F81&lt;&gt;0,H81/F81,"-")</f>
        <v>-</v>
      </c>
      <c r="I243" s="104" t="str">
        <f>+IF(H81&lt;&gt;0,I81/H81,"-")</f>
        <v>-</v>
      </c>
      <c r="J243" s="105">
        <f t="shared" ref="J243:AL243" si="125">+IF(I81&lt;&gt;0,J81/I81,"-")</f>
        <v>0.75077093939492201</v>
      </c>
      <c r="K243" s="105">
        <f t="shared" si="125"/>
        <v>0</v>
      </c>
      <c r="L243" s="105" t="str">
        <f t="shared" si="125"/>
        <v>-</v>
      </c>
      <c r="M243" s="105" t="str">
        <f t="shared" si="125"/>
        <v>-</v>
      </c>
      <c r="N243" s="105" t="str">
        <f t="shared" si="125"/>
        <v>-</v>
      </c>
      <c r="O243" s="105" t="str">
        <f t="shared" si="125"/>
        <v>-</v>
      </c>
      <c r="P243" s="105" t="str">
        <f t="shared" si="125"/>
        <v>-</v>
      </c>
      <c r="Q243" s="105" t="str">
        <f t="shared" si="125"/>
        <v>-</v>
      </c>
      <c r="R243" s="105" t="str">
        <f t="shared" si="125"/>
        <v>-</v>
      </c>
      <c r="S243" s="105" t="str">
        <f t="shared" si="125"/>
        <v>-</v>
      </c>
      <c r="T243" s="105" t="str">
        <f t="shared" si="125"/>
        <v>-</v>
      </c>
      <c r="U243" s="105" t="str">
        <f t="shared" si="125"/>
        <v>-</v>
      </c>
      <c r="V243" s="105" t="str">
        <f t="shared" si="125"/>
        <v>-</v>
      </c>
      <c r="W243" s="105" t="str">
        <f t="shared" si="125"/>
        <v>-</v>
      </c>
      <c r="X243" s="105" t="str">
        <f t="shared" si="125"/>
        <v>-</v>
      </c>
      <c r="Y243" s="105" t="str">
        <f t="shared" si="125"/>
        <v>-</v>
      </c>
      <c r="Z243" s="105" t="str">
        <f t="shared" si="125"/>
        <v>-</v>
      </c>
      <c r="AA243" s="105" t="str">
        <f t="shared" si="125"/>
        <v>-</v>
      </c>
      <c r="AB243" s="105" t="str">
        <f t="shared" si="125"/>
        <v>-</v>
      </c>
      <c r="AC243" s="105" t="str">
        <f t="shared" si="125"/>
        <v>-</v>
      </c>
      <c r="AD243" s="105" t="str">
        <f t="shared" si="125"/>
        <v>-</v>
      </c>
      <c r="AE243" s="105" t="str">
        <f t="shared" si="125"/>
        <v>-</v>
      </c>
      <c r="AF243" s="105" t="str">
        <f t="shared" si="125"/>
        <v>-</v>
      </c>
      <c r="AG243" s="105" t="str">
        <f t="shared" si="125"/>
        <v>-</v>
      </c>
      <c r="AH243" s="105" t="str">
        <f t="shared" si="125"/>
        <v>-</v>
      </c>
      <c r="AI243" s="105" t="str">
        <f t="shared" si="125"/>
        <v>-</v>
      </c>
      <c r="AJ243" s="105" t="str">
        <f t="shared" si="125"/>
        <v>-</v>
      </c>
      <c r="AK243" s="105" t="str">
        <f t="shared" si="125"/>
        <v>-</v>
      </c>
      <c r="AL243" s="106" t="str">
        <f t="shared" si="125"/>
        <v>-</v>
      </c>
    </row>
    <row r="244" spans="4:38" hidden="1" outlineLevel="2">
      <c r="D244" s="35" t="s">
        <v>401</v>
      </c>
      <c r="E244" s="38"/>
      <c r="F244" s="38"/>
      <c r="G244" s="38"/>
      <c r="H244" s="38"/>
      <c r="I244" s="295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/>
      <c r="AG244" s="296"/>
      <c r="AH244" s="296"/>
      <c r="AI244" s="296"/>
      <c r="AJ244" s="296"/>
      <c r="AK244" s="296"/>
      <c r="AL244" s="296"/>
    </row>
    <row r="245" spans="4:38" hidden="1" outlineLevel="2">
      <c r="D245" s="34" t="s">
        <v>2</v>
      </c>
      <c r="E245" s="403" t="s">
        <v>426</v>
      </c>
      <c r="F245" s="242" t="str">
        <f t="shared" ref="F245:I246" si="126">+IF(E63&lt;&gt;0,F63/E63,"-")</f>
        <v>-</v>
      </c>
      <c r="G245" s="242">
        <f t="shared" si="126"/>
        <v>1.1063697969063671</v>
      </c>
      <c r="H245" s="243">
        <f t="shared" si="126"/>
        <v>0.98474072218704134</v>
      </c>
      <c r="I245" s="107">
        <f t="shared" si="126"/>
        <v>1.0509651462894907</v>
      </c>
      <c r="J245" s="108">
        <f t="shared" ref="J245:AL245" si="127">+IF(I63&lt;&gt;0,J63/I63,"-")</f>
        <v>0.9965380326237574</v>
      </c>
      <c r="K245" s="108">
        <f t="shared" si="127"/>
        <v>1.0300001124458633</v>
      </c>
      <c r="L245" s="108">
        <f t="shared" si="127"/>
        <v>1.0299999727073177</v>
      </c>
      <c r="M245" s="108">
        <f t="shared" si="127"/>
        <v>1.0299999163228932</v>
      </c>
      <c r="N245" s="108">
        <f t="shared" si="127"/>
        <v>1.0300000054159943</v>
      </c>
      <c r="O245" s="108">
        <f t="shared" si="127"/>
        <v>1.0300000078873706</v>
      </c>
      <c r="P245" s="108">
        <f t="shared" si="127"/>
        <v>1.0300000855103262</v>
      </c>
      <c r="Q245" s="108">
        <f t="shared" si="127"/>
        <v>1.0299999838916947</v>
      </c>
      <c r="R245" s="108">
        <f t="shared" si="127"/>
        <v>1.0299999446615342</v>
      </c>
      <c r="S245" s="108">
        <f t="shared" si="127"/>
        <v>1.0300000373750737</v>
      </c>
      <c r="T245" s="108">
        <f t="shared" si="127"/>
        <v>1.029999959177712</v>
      </c>
      <c r="U245" s="108">
        <f t="shared" si="127"/>
        <v>1.0299999790824299</v>
      </c>
      <c r="V245" s="108">
        <f t="shared" si="127"/>
        <v>0</v>
      </c>
      <c r="W245" s="108" t="str">
        <f t="shared" si="127"/>
        <v>-</v>
      </c>
      <c r="X245" s="108" t="str">
        <f t="shared" si="127"/>
        <v>-</v>
      </c>
      <c r="Y245" s="108" t="str">
        <f t="shared" si="127"/>
        <v>-</v>
      </c>
      <c r="Z245" s="108" t="str">
        <f t="shared" si="127"/>
        <v>-</v>
      </c>
      <c r="AA245" s="108" t="str">
        <f t="shared" si="127"/>
        <v>-</v>
      </c>
      <c r="AB245" s="108" t="str">
        <f t="shared" si="127"/>
        <v>-</v>
      </c>
      <c r="AC245" s="108" t="str">
        <f t="shared" si="127"/>
        <v>-</v>
      </c>
      <c r="AD245" s="108" t="str">
        <f t="shared" si="127"/>
        <v>-</v>
      </c>
      <c r="AE245" s="108" t="str">
        <f t="shared" si="127"/>
        <v>-</v>
      </c>
      <c r="AF245" s="108" t="str">
        <f t="shared" si="127"/>
        <v>-</v>
      </c>
      <c r="AG245" s="108" t="str">
        <f t="shared" si="127"/>
        <v>-</v>
      </c>
      <c r="AH245" s="108" t="str">
        <f t="shared" si="127"/>
        <v>-</v>
      </c>
      <c r="AI245" s="108" t="str">
        <f t="shared" si="127"/>
        <v>-</v>
      </c>
      <c r="AJ245" s="108" t="str">
        <f t="shared" si="127"/>
        <v>-</v>
      </c>
      <c r="AK245" s="108" t="str">
        <f t="shared" si="127"/>
        <v>-</v>
      </c>
      <c r="AL245" s="109" t="str">
        <f t="shared" si="127"/>
        <v>-</v>
      </c>
    </row>
    <row r="246" spans="4:38" hidden="1" outlineLevel="2">
      <c r="D246" s="9" t="s">
        <v>3</v>
      </c>
      <c r="E246" s="399" t="s">
        <v>426</v>
      </c>
      <c r="F246" s="112">
        <f t="shared" si="126"/>
        <v>1.0348942269828973</v>
      </c>
      <c r="G246" s="112">
        <f t="shared" si="126"/>
        <v>0</v>
      </c>
      <c r="H246" s="113" t="str">
        <f t="shared" si="126"/>
        <v>-</v>
      </c>
      <c r="I246" s="101">
        <f t="shared" si="126"/>
        <v>1.2308781689379706</v>
      </c>
      <c r="J246" s="102">
        <f t="shared" ref="J246:AL246" si="128">+IF(I64&lt;&gt;0,J64/I64,"-")</f>
        <v>1.0049964024269407</v>
      </c>
      <c r="K246" s="102">
        <f t="shared" si="128"/>
        <v>1.015625</v>
      </c>
      <c r="L246" s="102">
        <f t="shared" si="128"/>
        <v>1.0153846153846153</v>
      </c>
      <c r="M246" s="102">
        <f t="shared" si="128"/>
        <v>1.0303030303030303</v>
      </c>
      <c r="N246" s="102">
        <f t="shared" si="128"/>
        <v>1.0294117647058822</v>
      </c>
      <c r="O246" s="102">
        <f t="shared" si="128"/>
        <v>1.0285714285714285</v>
      </c>
      <c r="P246" s="102">
        <f t="shared" si="128"/>
        <v>1.0277777777777777</v>
      </c>
      <c r="Q246" s="102">
        <f t="shared" si="128"/>
        <v>1.027027027027027</v>
      </c>
      <c r="R246" s="102">
        <f t="shared" si="128"/>
        <v>1.0263157894736843</v>
      </c>
      <c r="S246" s="102">
        <f t="shared" si="128"/>
        <v>1.0256410256410255</v>
      </c>
      <c r="T246" s="102">
        <f t="shared" si="128"/>
        <v>1.0249999999999999</v>
      </c>
      <c r="U246" s="102">
        <f t="shared" si="128"/>
        <v>1.024390243902439</v>
      </c>
      <c r="V246" s="102">
        <f t="shared" si="128"/>
        <v>0</v>
      </c>
      <c r="W246" s="102" t="str">
        <f t="shared" si="128"/>
        <v>-</v>
      </c>
      <c r="X246" s="102" t="str">
        <f t="shared" si="128"/>
        <v>-</v>
      </c>
      <c r="Y246" s="102" t="str">
        <f t="shared" si="128"/>
        <v>-</v>
      </c>
      <c r="Z246" s="102" t="str">
        <f t="shared" si="128"/>
        <v>-</v>
      </c>
      <c r="AA246" s="102" t="str">
        <f t="shared" si="128"/>
        <v>-</v>
      </c>
      <c r="AB246" s="102" t="str">
        <f t="shared" si="128"/>
        <v>-</v>
      </c>
      <c r="AC246" s="102" t="str">
        <f t="shared" si="128"/>
        <v>-</v>
      </c>
      <c r="AD246" s="102" t="str">
        <f t="shared" si="128"/>
        <v>-</v>
      </c>
      <c r="AE246" s="102" t="str">
        <f t="shared" si="128"/>
        <v>-</v>
      </c>
      <c r="AF246" s="102" t="str">
        <f t="shared" si="128"/>
        <v>-</v>
      </c>
      <c r="AG246" s="102" t="str">
        <f t="shared" si="128"/>
        <v>-</v>
      </c>
      <c r="AH246" s="102" t="str">
        <f t="shared" si="128"/>
        <v>-</v>
      </c>
      <c r="AI246" s="102" t="str">
        <f t="shared" si="128"/>
        <v>-</v>
      </c>
      <c r="AJ246" s="102" t="str">
        <f t="shared" si="128"/>
        <v>-</v>
      </c>
      <c r="AK246" s="102" t="str">
        <f t="shared" si="128"/>
        <v>-</v>
      </c>
      <c r="AL246" s="103" t="str">
        <f t="shared" si="128"/>
        <v>-</v>
      </c>
    </row>
    <row r="247" spans="4:38" hidden="1" outlineLevel="2">
      <c r="D247" s="9" t="s">
        <v>402</v>
      </c>
      <c r="E247" s="399" t="s">
        <v>426</v>
      </c>
      <c r="F247" s="112" t="str">
        <f t="shared" ref="F247:I248" si="129">+IF(E66&lt;&gt;0,F66/E66,"-")</f>
        <v>-</v>
      </c>
      <c r="G247" s="112">
        <f t="shared" si="129"/>
        <v>1.1747280619611189</v>
      </c>
      <c r="H247" s="113">
        <f t="shared" si="129"/>
        <v>0</v>
      </c>
      <c r="I247" s="101" t="str">
        <f t="shared" si="129"/>
        <v>-</v>
      </c>
      <c r="J247" s="102">
        <f t="shared" ref="J247:AL247" si="130">+IF(I66&lt;&gt;0,J66/I66,"-")</f>
        <v>0.12145245103383118</v>
      </c>
      <c r="K247" s="102">
        <f t="shared" si="130"/>
        <v>0</v>
      </c>
      <c r="L247" s="102" t="str">
        <f t="shared" si="130"/>
        <v>-</v>
      </c>
      <c r="M247" s="102" t="str">
        <f t="shared" si="130"/>
        <v>-</v>
      </c>
      <c r="N247" s="102" t="str">
        <f t="shared" si="130"/>
        <v>-</v>
      </c>
      <c r="O247" s="102" t="str">
        <f t="shared" si="130"/>
        <v>-</v>
      </c>
      <c r="P247" s="102" t="str">
        <f t="shared" si="130"/>
        <v>-</v>
      </c>
      <c r="Q247" s="102" t="str">
        <f t="shared" si="130"/>
        <v>-</v>
      </c>
      <c r="R247" s="102" t="str">
        <f t="shared" si="130"/>
        <v>-</v>
      </c>
      <c r="S247" s="102" t="str">
        <f t="shared" si="130"/>
        <v>-</v>
      </c>
      <c r="T247" s="102" t="str">
        <f t="shared" si="130"/>
        <v>-</v>
      </c>
      <c r="U247" s="102" t="str">
        <f t="shared" si="130"/>
        <v>-</v>
      </c>
      <c r="V247" s="102" t="str">
        <f t="shared" si="130"/>
        <v>-</v>
      </c>
      <c r="W247" s="102" t="str">
        <f t="shared" si="130"/>
        <v>-</v>
      </c>
      <c r="X247" s="102" t="str">
        <f t="shared" si="130"/>
        <v>-</v>
      </c>
      <c r="Y247" s="102" t="str">
        <f t="shared" si="130"/>
        <v>-</v>
      </c>
      <c r="Z247" s="102" t="str">
        <f t="shared" si="130"/>
        <v>-</v>
      </c>
      <c r="AA247" s="102" t="str">
        <f t="shared" si="130"/>
        <v>-</v>
      </c>
      <c r="AB247" s="102" t="str">
        <f t="shared" si="130"/>
        <v>-</v>
      </c>
      <c r="AC247" s="102" t="str">
        <f t="shared" si="130"/>
        <v>-</v>
      </c>
      <c r="AD247" s="102" t="str">
        <f t="shared" si="130"/>
        <v>-</v>
      </c>
      <c r="AE247" s="102" t="str">
        <f t="shared" si="130"/>
        <v>-</v>
      </c>
      <c r="AF247" s="102" t="str">
        <f t="shared" si="130"/>
        <v>-</v>
      </c>
      <c r="AG247" s="102" t="str">
        <f t="shared" si="130"/>
        <v>-</v>
      </c>
      <c r="AH247" s="102" t="str">
        <f t="shared" si="130"/>
        <v>-</v>
      </c>
      <c r="AI247" s="102" t="str">
        <f t="shared" si="130"/>
        <v>-</v>
      </c>
      <c r="AJ247" s="102" t="str">
        <f t="shared" si="130"/>
        <v>-</v>
      </c>
      <c r="AK247" s="102" t="str">
        <f t="shared" si="130"/>
        <v>-</v>
      </c>
      <c r="AL247" s="103" t="str">
        <f t="shared" si="130"/>
        <v>-</v>
      </c>
    </row>
    <row r="248" spans="4:38" hidden="1" outlineLevel="2">
      <c r="D248" s="13" t="s">
        <v>403</v>
      </c>
      <c r="E248" s="402" t="s">
        <v>426</v>
      </c>
      <c r="F248" s="118" t="str">
        <f t="shared" si="129"/>
        <v>-</v>
      </c>
      <c r="G248" s="118">
        <f t="shared" si="129"/>
        <v>0.30711255115256647</v>
      </c>
      <c r="H248" s="119">
        <f t="shared" si="129"/>
        <v>0</v>
      </c>
      <c r="I248" s="104" t="str">
        <f t="shared" si="129"/>
        <v>-</v>
      </c>
      <c r="J248" s="105">
        <f t="shared" ref="J248:AL248" si="131">+IF(I67&lt;&gt;0,J67/I67,"-")</f>
        <v>0.66083188831133588</v>
      </c>
      <c r="K248" s="105">
        <f t="shared" si="131"/>
        <v>5.4083579199132679E-3</v>
      </c>
      <c r="L248" s="105">
        <f t="shared" si="131"/>
        <v>0</v>
      </c>
      <c r="M248" s="105" t="str">
        <f t="shared" si="131"/>
        <v>-</v>
      </c>
      <c r="N248" s="105" t="str">
        <f t="shared" si="131"/>
        <v>-</v>
      </c>
      <c r="O248" s="105" t="str">
        <f t="shared" si="131"/>
        <v>-</v>
      </c>
      <c r="P248" s="105" t="str">
        <f t="shared" si="131"/>
        <v>-</v>
      </c>
      <c r="Q248" s="105" t="str">
        <f t="shared" si="131"/>
        <v>-</v>
      </c>
      <c r="R248" s="105" t="str">
        <f t="shared" si="131"/>
        <v>-</v>
      </c>
      <c r="S248" s="105" t="str">
        <f t="shared" si="131"/>
        <v>-</v>
      </c>
      <c r="T248" s="105" t="str">
        <f t="shared" si="131"/>
        <v>-</v>
      </c>
      <c r="U248" s="105" t="str">
        <f t="shared" si="131"/>
        <v>-</v>
      </c>
      <c r="V248" s="105" t="str">
        <f t="shared" si="131"/>
        <v>-</v>
      </c>
      <c r="W248" s="105" t="str">
        <f t="shared" si="131"/>
        <v>-</v>
      </c>
      <c r="X248" s="105" t="str">
        <f t="shared" si="131"/>
        <v>-</v>
      </c>
      <c r="Y248" s="105" t="str">
        <f t="shared" si="131"/>
        <v>-</v>
      </c>
      <c r="Z248" s="105" t="str">
        <f t="shared" si="131"/>
        <v>-</v>
      </c>
      <c r="AA248" s="105" t="str">
        <f t="shared" si="131"/>
        <v>-</v>
      </c>
      <c r="AB248" s="105" t="str">
        <f t="shared" si="131"/>
        <v>-</v>
      </c>
      <c r="AC248" s="105" t="str">
        <f t="shared" si="131"/>
        <v>-</v>
      </c>
      <c r="AD248" s="105" t="str">
        <f t="shared" si="131"/>
        <v>-</v>
      </c>
      <c r="AE248" s="105" t="str">
        <f t="shared" si="131"/>
        <v>-</v>
      </c>
      <c r="AF248" s="105" t="str">
        <f t="shared" si="131"/>
        <v>-</v>
      </c>
      <c r="AG248" s="105" t="str">
        <f t="shared" si="131"/>
        <v>-</v>
      </c>
      <c r="AH248" s="105" t="str">
        <f t="shared" si="131"/>
        <v>-</v>
      </c>
      <c r="AI248" s="105" t="str">
        <f t="shared" si="131"/>
        <v>-</v>
      </c>
      <c r="AJ248" s="105" t="str">
        <f t="shared" si="131"/>
        <v>-</v>
      </c>
      <c r="AK248" s="105" t="str">
        <f t="shared" si="131"/>
        <v>-</v>
      </c>
      <c r="AL248" s="106" t="str">
        <f t="shared" si="131"/>
        <v>-</v>
      </c>
    </row>
    <row r="249" spans="4:38" hidden="1"/>
  </sheetData>
  <sheetProtection password="DB8D" sheet="1" objects="1" scenarios="1" selectLockedCells="1"/>
  <autoFilter ref="A4:A99"/>
  <mergeCells count="4">
    <mergeCell ref="E3:F3"/>
    <mergeCell ref="B1:C1"/>
    <mergeCell ref="M1:O1"/>
    <mergeCell ref="B2:P2"/>
  </mergeCells>
  <conditionalFormatting sqref="I228:AL243">
    <cfRule type="cellIs" priority="6" stopIfTrue="1" operator="equal">
      <formula>"-"</formula>
    </cfRule>
    <cfRule type="cellIs" dxfId="30" priority="81" stopIfTrue="1" operator="between">
      <formula>0.00000001</formula>
      <formula>1</formula>
    </cfRule>
    <cfRule type="cellIs" dxfId="29" priority="82" stopIfTrue="1" operator="greaterThan">
      <formula>1</formula>
    </cfRule>
  </conditionalFormatting>
  <conditionalFormatting sqref="I245:AL248">
    <cfRule type="cellIs" priority="5" stopIfTrue="1" operator="equal">
      <formula>"-"</formula>
    </cfRule>
    <cfRule type="cellIs" dxfId="28" priority="83" stopIfTrue="1" operator="between">
      <formula>0.00000001</formula>
      <formula>1</formula>
    </cfRule>
    <cfRule type="cellIs" dxfId="27" priority="84" stopIfTrue="1" operator="greaterThan">
      <formula>1</formula>
    </cfRule>
  </conditionalFormatting>
  <conditionalFormatting sqref="I58:AL59">
    <cfRule type="expression" dxfId="26" priority="30" stopIfTrue="1">
      <formula>LEFT(I58,3)="Nie"</formula>
    </cfRule>
  </conditionalFormatting>
  <conditionalFormatting sqref="I188:AL199">
    <cfRule type="cellIs" dxfId="25" priority="7" stopIfTrue="1" operator="notBetween">
      <formula>-$D$187</formula>
      <formula>$D$187</formula>
    </cfRule>
    <cfRule type="cellIs" dxfId="24" priority="91" stopIfTrue="1" operator="notBetween">
      <formula>-$D$186</formula>
      <formula>$D$186</formula>
    </cfRule>
    <cfRule type="cellIs" dxfId="23" priority="92" stopIfTrue="1" operator="notBetween">
      <formula>-$D$185</formula>
      <formula>$D$185</formula>
    </cfRule>
  </conditionalFormatting>
  <conditionalFormatting sqref="I118:AL118">
    <cfRule type="cellIs" dxfId="22" priority="4" stopIfTrue="1" operator="between">
      <formula>0</formula>
      <formula>1000000000000</formula>
    </cfRule>
  </conditionalFormatting>
  <conditionalFormatting sqref="I119:AL121">
    <cfRule type="cellIs" dxfId="21" priority="3" stopIfTrue="1" operator="between">
      <formula>-1000000000000</formula>
      <formula>1000000000000</formula>
    </cfRule>
  </conditionalFormatting>
  <conditionalFormatting sqref="I116:AL117">
    <cfRule type="cellIs" dxfId="20" priority="2" stopIfTrue="1" operator="between">
      <formula>-1000000000000</formula>
      <formula>1000000000000</formula>
    </cfRule>
  </conditionalFormatting>
  <conditionalFormatting sqref="I122:AL166">
    <cfRule type="cellIs" dxfId="19" priority="1" stopIfTrue="1" operator="equal">
      <formula>"BŁĄD"</formula>
    </cfRule>
  </conditionalFormatting>
  <conditionalFormatting sqref="I180:AL183">
    <cfRule type="cellIs" dxfId="18" priority="50" stopIfTrue="1" operator="lessThan">
      <formula>$D$177</formula>
    </cfRule>
    <cfRule type="cellIs" dxfId="17" priority="51" stopIfTrue="1" operator="lessThan">
      <formula>$D$178</formula>
    </cfRule>
    <cfRule type="cellIs" dxfId="16" priority="52" stopIfTrue="1" operator="lessThan">
      <formula>$D$179</formula>
    </cfRule>
  </conditionalFormatting>
  <pageMargins left="0.51181102362204722" right="0.51181102362204722" top="0.47244094488188981" bottom="0.47244094488188981" header="0.31496062992125984" footer="0.31496062992125984"/>
  <pageSetup paperSize="8" scale="68" fitToHeight="2" orientation="landscape" blackAndWhite="1" horizontalDpi="4294967293" verticalDpi="4294967293" r:id="rId1"/>
  <rowBreaks count="1" manualBreakCount="1">
    <brk id="55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Normal="100" workbookViewId="0"/>
  </sheetViews>
  <sheetFormatPr defaultRowHeight="14.25"/>
  <cols>
    <col min="7" max="7" width="8.125" customWidth="1"/>
  </cols>
  <sheetData>
    <row r="1" spans="1:9" ht="15">
      <c r="A1" s="3" t="s">
        <v>34</v>
      </c>
      <c r="I1" s="174" t="e">
        <f>Zał.1_WPF_bazowy!#REF!&amp;" - "&amp;"WPF za lata "&amp;Zał.1_WPF_bazowy!#REF!&amp;" - Nr Uchwały JST: "&amp;Zał.1_WPF_bazowy!#REF!</f>
        <v>#REF!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  <headerFooter>
    <oddFooter>Strona &amp;P z &amp;N</oddFooter>
  </headerFooter>
  <rowBreaks count="3" manualBreakCount="3">
    <brk id="34" max="16383" man="1"/>
    <brk id="82" max="16383" man="1"/>
    <brk id="11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Normal="100" zoomScaleSheetLayoutView="100" workbookViewId="0">
      <pane xSplit="4" ySplit="9" topLeftCell="F202" activePane="bottomRight" state="frozen"/>
      <selection pane="topRight" activeCell="G1" sqref="G1"/>
      <selection pane="bottomLeft" activeCell="A10" sqref="A10"/>
      <selection pane="bottomRight" activeCell="D220" sqref="D220"/>
    </sheetView>
  </sheetViews>
  <sheetFormatPr defaultRowHeight="14.25" outlineLevelRow="3" outlineLevelCol="1"/>
  <cols>
    <col min="1" max="1" width="4.375" style="127" hidden="1" customWidth="1" outlineLevel="1"/>
    <col min="2" max="2" width="6.625" style="126" customWidth="1" collapsed="1"/>
    <col min="3" max="3" width="47.875" style="126" hidden="1" customWidth="1" outlineLevel="1"/>
    <col min="4" max="4" width="70.625" style="126" customWidth="1" collapsed="1"/>
    <col min="5" max="8" width="14.375" style="126" customWidth="1" outlineLevel="1"/>
    <col min="9" max="38" width="14.375" style="126" customWidth="1"/>
    <col min="39" max="16384" width="9" style="127"/>
  </cols>
  <sheetData>
    <row r="1" spans="1:253">
      <c r="B1" s="123" t="s">
        <v>424</v>
      </c>
      <c r="C1" s="123"/>
      <c r="D1" s="124"/>
      <c r="E1" s="125"/>
      <c r="F1" s="432" t="s">
        <v>446</v>
      </c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253">
      <c r="B2" s="123" t="s">
        <v>425</v>
      </c>
      <c r="C2" s="123"/>
      <c r="D2" s="124"/>
      <c r="E2" s="125"/>
      <c r="F2" s="433" t="s">
        <v>447</v>
      </c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253">
      <c r="B3" s="128" t="s">
        <v>277</v>
      </c>
      <c r="C3" s="123"/>
      <c r="D3" s="124"/>
      <c r="E3" s="125"/>
      <c r="F3" s="434" t="s">
        <v>422</v>
      </c>
      <c r="G3" s="434"/>
      <c r="H3" s="434"/>
      <c r="I3" s="434"/>
      <c r="J3" s="434"/>
      <c r="K3" s="434"/>
      <c r="L3" s="434"/>
      <c r="M3" s="434"/>
      <c r="N3" s="434"/>
      <c r="O3" s="434"/>
      <c r="P3" s="434"/>
    </row>
    <row r="4" spans="1:253">
      <c r="C4" s="128"/>
      <c r="D4" s="124"/>
      <c r="E4" s="125"/>
      <c r="F4" s="125"/>
      <c r="G4" s="125"/>
      <c r="H4" s="125"/>
      <c r="I4" s="125"/>
      <c r="J4" s="125"/>
    </row>
    <row r="5" spans="1:253" s="130" customFormat="1" ht="15">
      <c r="E5" s="134" t="str">
        <f>J6&amp;" - "&amp;"WPF za lata "&amp;J7&amp;" - Nr Uchwały JST: "&amp;J5</f>
        <v>WIDUCHOWA - WPF za lata 2013 - 2025 - Nr Uchwały JST: WPF??/2013</v>
      </c>
      <c r="F5" s="128"/>
      <c r="G5" s="133"/>
      <c r="I5" s="131" t="s">
        <v>431</v>
      </c>
      <c r="J5" s="132" t="str">
        <f>DaneZrodlowe!B4</f>
        <v>WPF??/2013</v>
      </c>
      <c r="L5" s="125"/>
      <c r="N5" s="129"/>
      <c r="O5" s="129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</row>
    <row r="6" spans="1:253" s="130" customFormat="1" ht="15">
      <c r="F6" s="135"/>
      <c r="G6" s="136"/>
      <c r="H6" s="136"/>
      <c r="I6" s="131" t="s">
        <v>17</v>
      </c>
      <c r="J6" s="62" t="str">
        <f>DaneZrodlowe!C4</f>
        <v>WIDUCHOWA</v>
      </c>
      <c r="L6" s="125"/>
      <c r="N6" s="129"/>
      <c r="O6" s="129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</row>
    <row r="7" spans="1:253" s="130" customFormat="1" ht="15">
      <c r="G7" s="138"/>
      <c r="H7" s="138"/>
      <c r="I7" s="137" t="s">
        <v>18</v>
      </c>
      <c r="J7" s="63" t="str">
        <f>CONCATENATE(DaneZrodlowe!M1," - ",DaneZrodlowe!P1)</f>
        <v>2013 - 2025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</row>
    <row r="8" spans="1:253" s="139" customFormat="1" ht="15.75">
      <c r="B8" s="126"/>
      <c r="C8" s="126"/>
      <c r="E8" s="297"/>
      <c r="F8" s="297"/>
      <c r="G8" s="297"/>
      <c r="H8" s="297"/>
      <c r="I8" s="308" t="str">
        <f>""</f>
        <v/>
      </c>
      <c r="J8" s="297"/>
      <c r="K8" s="297"/>
      <c r="L8" s="297"/>
      <c r="M8" s="297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spans="1:253" s="148" customFormat="1" ht="28.5">
      <c r="A9" s="380" t="s">
        <v>469</v>
      </c>
      <c r="B9" s="39" t="s">
        <v>0</v>
      </c>
      <c r="C9" s="140" t="s">
        <v>405</v>
      </c>
      <c r="D9" s="350" t="s">
        <v>1</v>
      </c>
      <c r="E9" s="141" t="s">
        <v>273</v>
      </c>
      <c r="F9" s="142" t="s">
        <v>272</v>
      </c>
      <c r="G9" s="142" t="s">
        <v>449</v>
      </c>
      <c r="H9" s="143" t="s">
        <v>271</v>
      </c>
      <c r="I9" s="144">
        <f>+definicja!E9</f>
        <v>2013</v>
      </c>
      <c r="J9" s="145">
        <f>+definicja!F9</f>
        <v>2014</v>
      </c>
      <c r="K9" s="145">
        <f>+definicja!G9</f>
        <v>2015</v>
      </c>
      <c r="L9" s="145">
        <f>+definicja!H9</f>
        <v>2016</v>
      </c>
      <c r="M9" s="145">
        <f>+definicja!I9</f>
        <v>2017</v>
      </c>
      <c r="N9" s="145">
        <f>+definicja!J9</f>
        <v>2018</v>
      </c>
      <c r="O9" s="145">
        <f>+definicja!K9</f>
        <v>2019</v>
      </c>
      <c r="P9" s="145">
        <f>+definicja!L9</f>
        <v>2020</v>
      </c>
      <c r="Q9" s="145">
        <f>+definicja!M9</f>
        <v>2021</v>
      </c>
      <c r="R9" s="145">
        <f>+definicja!N9</f>
        <v>2022</v>
      </c>
      <c r="S9" s="145">
        <f>+definicja!O9</f>
        <v>2023</v>
      </c>
      <c r="T9" s="145">
        <f>+definicja!P9</f>
        <v>2024</v>
      </c>
      <c r="U9" s="145">
        <f>+definicja!Q9</f>
        <v>2025</v>
      </c>
      <c r="V9" s="145">
        <f>+definicja!R9</f>
        <v>2026</v>
      </c>
      <c r="W9" s="145">
        <f>+definicja!S9</f>
        <v>2027</v>
      </c>
      <c r="X9" s="145">
        <f>+definicja!T9</f>
        <v>2028</v>
      </c>
      <c r="Y9" s="145">
        <f>+definicja!U9</f>
        <v>2029</v>
      </c>
      <c r="Z9" s="145">
        <f>+definicja!V9</f>
        <v>2030</v>
      </c>
      <c r="AA9" s="145">
        <f>+definicja!W9</f>
        <v>2031</v>
      </c>
      <c r="AB9" s="145">
        <f>+definicja!X9</f>
        <v>2032</v>
      </c>
      <c r="AC9" s="145">
        <f>+definicja!Y9</f>
        <v>2033</v>
      </c>
      <c r="AD9" s="145">
        <f>+definicja!Z9</f>
        <v>2034</v>
      </c>
      <c r="AE9" s="145">
        <f>+definicja!AA9</f>
        <v>2035</v>
      </c>
      <c r="AF9" s="145">
        <f>+definicja!AB9</f>
        <v>2036</v>
      </c>
      <c r="AG9" s="145">
        <f>+definicja!AC9</f>
        <v>2037</v>
      </c>
      <c r="AH9" s="145">
        <f>+definicja!AD9</f>
        <v>2038</v>
      </c>
      <c r="AI9" s="145">
        <f>+definicja!AE9</f>
        <v>2039</v>
      </c>
      <c r="AJ9" s="145">
        <f>+definicja!AF9</f>
        <v>2040</v>
      </c>
      <c r="AK9" s="145">
        <f>+definicja!AG9</f>
        <v>2041</v>
      </c>
      <c r="AL9" s="146">
        <f>+definicja!AH9</f>
        <v>2042</v>
      </c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</row>
    <row r="10" spans="1:253" s="149" customFormat="1" ht="15" outlineLevel="1">
      <c r="A10" s="375" t="s">
        <v>31</v>
      </c>
      <c r="B10" s="47">
        <v>1</v>
      </c>
      <c r="C10" s="256" t="s">
        <v>406</v>
      </c>
      <c r="D10" s="353" t="s">
        <v>26</v>
      </c>
      <c r="E10" s="244">
        <f>Zał.1_WPF_bazowy!E5</f>
        <v>16360657.9</v>
      </c>
      <c r="F10" s="245">
        <f>Zał.1_WPF_bazowy!F5</f>
        <v>15865865.16</v>
      </c>
      <c r="G10" s="245">
        <f>Zał.1_WPF_bazowy!G5</f>
        <v>18420868.920000002</v>
      </c>
      <c r="H10" s="122">
        <f>+H11+H18</f>
        <v>18510610.399999999</v>
      </c>
      <c r="I10" s="120">
        <f>+I11+I18</f>
        <v>19073889.75</v>
      </c>
      <c r="J10" s="121">
        <f t="shared" ref="J10:AL10" si="0">+J11+J18</f>
        <v>20250344</v>
      </c>
      <c r="K10" s="121">
        <f t="shared" si="0"/>
        <v>17600000</v>
      </c>
      <c r="L10" s="121">
        <f t="shared" si="0"/>
        <v>17943950</v>
      </c>
      <c r="M10" s="121">
        <f t="shared" si="0"/>
        <v>18237269</v>
      </c>
      <c r="N10" s="121">
        <f t="shared" si="0"/>
        <v>18545387</v>
      </c>
      <c r="O10" s="121">
        <f t="shared" si="0"/>
        <v>18768748</v>
      </c>
      <c r="P10" s="121">
        <f t="shared" si="0"/>
        <v>18807811</v>
      </c>
      <c r="Q10" s="121">
        <f t="shared" si="0"/>
        <v>19363045</v>
      </c>
      <c r="R10" s="121">
        <f t="shared" si="0"/>
        <v>19934936</v>
      </c>
      <c r="S10" s="121">
        <f t="shared" si="0"/>
        <v>20523984</v>
      </c>
      <c r="T10" s="121">
        <f t="shared" si="0"/>
        <v>21130704</v>
      </c>
      <c r="U10" s="121">
        <f t="shared" si="0"/>
        <v>21755625</v>
      </c>
      <c r="V10" s="121">
        <f t="shared" si="0"/>
        <v>0</v>
      </c>
      <c r="W10" s="121">
        <f t="shared" si="0"/>
        <v>0</v>
      </c>
      <c r="X10" s="121">
        <f t="shared" si="0"/>
        <v>0</v>
      </c>
      <c r="Y10" s="121">
        <f t="shared" si="0"/>
        <v>0</v>
      </c>
      <c r="Z10" s="121">
        <f t="shared" si="0"/>
        <v>0</v>
      </c>
      <c r="AA10" s="121">
        <f t="shared" si="0"/>
        <v>0</v>
      </c>
      <c r="AB10" s="121">
        <f t="shared" si="0"/>
        <v>0</v>
      </c>
      <c r="AC10" s="121">
        <f t="shared" si="0"/>
        <v>0</v>
      </c>
      <c r="AD10" s="121">
        <f t="shared" si="0"/>
        <v>0</v>
      </c>
      <c r="AE10" s="121">
        <f t="shared" si="0"/>
        <v>0</v>
      </c>
      <c r="AF10" s="121">
        <f t="shared" si="0"/>
        <v>0</v>
      </c>
      <c r="AG10" s="121">
        <f t="shared" si="0"/>
        <v>0</v>
      </c>
      <c r="AH10" s="121">
        <f t="shared" si="0"/>
        <v>0</v>
      </c>
      <c r="AI10" s="121">
        <f t="shared" si="0"/>
        <v>0</v>
      </c>
      <c r="AJ10" s="121">
        <f t="shared" si="0"/>
        <v>0</v>
      </c>
      <c r="AK10" s="121">
        <f t="shared" si="0"/>
        <v>0</v>
      </c>
      <c r="AL10" s="122">
        <f t="shared" si="0"/>
        <v>0</v>
      </c>
    </row>
    <row r="11" spans="1:253" outlineLevel="2">
      <c r="A11" s="375" t="s">
        <v>31</v>
      </c>
      <c r="B11" s="48" t="s">
        <v>164</v>
      </c>
      <c r="C11" s="257"/>
      <c r="D11" s="355" t="s">
        <v>226</v>
      </c>
      <c r="E11" s="246">
        <f>Zał.1_WPF_bazowy!E6</f>
        <v>13328461.310000001</v>
      </c>
      <c r="F11" s="247">
        <f>Zał.1_WPF_bazowy!F6</f>
        <v>14133461.960000001</v>
      </c>
      <c r="G11" s="247">
        <f>Zał.1_WPF_bazowy!G6</f>
        <v>15732874.92</v>
      </c>
      <c r="H11" s="309">
        <f>Zał.1_WPF_bazowy!H6</f>
        <v>15979638.24</v>
      </c>
      <c r="I11" s="310">
        <f>+Zał.1_WPF_bazowy!I6</f>
        <v>16467129.5</v>
      </c>
      <c r="J11" s="311">
        <f>+Zał.1_WPF_bazowy!J6</f>
        <v>16800000</v>
      </c>
      <c r="K11" s="311">
        <f>+Zał.1_WPF_bazowy!K6</f>
        <v>17300000</v>
      </c>
      <c r="L11" s="311">
        <f>+Zał.1_WPF_bazowy!L6</f>
        <v>17643950</v>
      </c>
      <c r="M11" s="311">
        <f>+Zał.1_WPF_bazowy!M6</f>
        <v>17937269</v>
      </c>
      <c r="N11" s="311">
        <f>+Zał.1_WPF_bazowy!N6</f>
        <v>18245387</v>
      </c>
      <c r="O11" s="311">
        <f>+Zał.1_WPF_bazowy!O6</f>
        <v>18468748</v>
      </c>
      <c r="P11" s="311">
        <f>+Zał.1_WPF_bazowy!P6</f>
        <v>18507811</v>
      </c>
      <c r="Q11" s="311">
        <f>+Zał.1_WPF_bazowy!Q6</f>
        <v>19063045</v>
      </c>
      <c r="R11" s="311">
        <f>+Zał.1_WPF_bazowy!R6</f>
        <v>19634936</v>
      </c>
      <c r="S11" s="311">
        <f>+Zał.1_WPF_bazowy!S6</f>
        <v>20223984</v>
      </c>
      <c r="T11" s="311">
        <f>+Zał.1_WPF_bazowy!T6</f>
        <v>20830704</v>
      </c>
      <c r="U11" s="311">
        <f>+Zał.1_WPF_bazowy!U6</f>
        <v>21455625</v>
      </c>
      <c r="V11" s="311">
        <f>+Zał.1_WPF_bazowy!V6</f>
        <v>0</v>
      </c>
      <c r="W11" s="311">
        <f>+Zał.1_WPF_bazowy!W6</f>
        <v>0</v>
      </c>
      <c r="X11" s="311">
        <f>+Zał.1_WPF_bazowy!X6</f>
        <v>0</v>
      </c>
      <c r="Y11" s="311">
        <f>+Zał.1_WPF_bazowy!Y6</f>
        <v>0</v>
      </c>
      <c r="Z11" s="311">
        <f>+Zał.1_WPF_bazowy!Z6</f>
        <v>0</v>
      </c>
      <c r="AA11" s="311">
        <f>+Zał.1_WPF_bazowy!AA6</f>
        <v>0</v>
      </c>
      <c r="AB11" s="311">
        <f>+Zał.1_WPF_bazowy!AB6</f>
        <v>0</v>
      </c>
      <c r="AC11" s="311">
        <f>+Zał.1_WPF_bazowy!AC6</f>
        <v>0</v>
      </c>
      <c r="AD11" s="311">
        <f>+Zał.1_WPF_bazowy!AD6</f>
        <v>0</v>
      </c>
      <c r="AE11" s="311">
        <f>+Zał.1_WPF_bazowy!AE6</f>
        <v>0</v>
      </c>
      <c r="AF11" s="311">
        <f>+Zał.1_WPF_bazowy!AF6</f>
        <v>0</v>
      </c>
      <c r="AG11" s="311">
        <f>+Zał.1_WPF_bazowy!AG6</f>
        <v>0</v>
      </c>
      <c r="AH11" s="311">
        <f>+Zał.1_WPF_bazowy!AH6</f>
        <v>0</v>
      </c>
      <c r="AI11" s="311">
        <f>+Zał.1_WPF_bazowy!AI6</f>
        <v>0</v>
      </c>
      <c r="AJ11" s="311">
        <f>+Zał.1_WPF_bazowy!AJ6</f>
        <v>0</v>
      </c>
      <c r="AK11" s="311">
        <f>+Zał.1_WPF_bazowy!AK6</f>
        <v>0</v>
      </c>
      <c r="AL11" s="312">
        <f>+Zał.1_WPF_bazowy!AL6</f>
        <v>0</v>
      </c>
    </row>
    <row r="12" spans="1:253" outlineLevel="2">
      <c r="A12" s="375"/>
      <c r="B12" s="48" t="s">
        <v>44</v>
      </c>
      <c r="C12" s="257"/>
      <c r="D12" s="356" t="s">
        <v>215</v>
      </c>
      <c r="E12" s="246">
        <f>Zał.1_WPF_bazowy!E7</f>
        <v>1009425</v>
      </c>
      <c r="F12" s="247">
        <f>Zał.1_WPF_bazowy!F7</f>
        <v>1249390</v>
      </c>
      <c r="G12" s="247">
        <f>Zał.1_WPF_bazowy!G7</f>
        <v>0</v>
      </c>
      <c r="H12" s="309">
        <f>Zał.1_WPF_bazowy!H7</f>
        <v>1312222</v>
      </c>
      <c r="I12" s="310">
        <f>+Zał.1_WPF_bazowy!I7</f>
        <v>1464627</v>
      </c>
      <c r="J12" s="311">
        <f>+Zał.1_WPF_bazowy!J7</f>
        <v>1488000</v>
      </c>
      <c r="K12" s="311">
        <f>+Zał.1_WPF_bazowy!K7</f>
        <v>1562000</v>
      </c>
      <c r="L12" s="311">
        <f>+Zał.1_WPF_bazowy!L7</f>
        <v>1562000</v>
      </c>
      <c r="M12" s="311">
        <f>+Zał.1_WPF_bazowy!M7</f>
        <v>1575000</v>
      </c>
      <c r="N12" s="311">
        <f>+Zał.1_WPF_bazowy!N7</f>
        <v>1622000</v>
      </c>
      <c r="O12" s="311">
        <f>+Zał.1_WPF_bazowy!O7</f>
        <v>1671000</v>
      </c>
      <c r="P12" s="311">
        <f>+Zał.1_WPF_bazowy!P7</f>
        <v>1721000</v>
      </c>
      <c r="Q12" s="311">
        <f>+Zał.1_WPF_bazowy!Q7</f>
        <v>1773000</v>
      </c>
      <c r="R12" s="311">
        <f>+Zał.1_WPF_bazowy!R7</f>
        <v>1826000</v>
      </c>
      <c r="S12" s="311">
        <f>+Zał.1_WPF_bazowy!S7</f>
        <v>1881000</v>
      </c>
      <c r="T12" s="311">
        <f>+Zał.1_WPF_bazowy!T7</f>
        <v>1937000</v>
      </c>
      <c r="U12" s="311">
        <f>+Zał.1_WPF_bazowy!U7</f>
        <v>1995000</v>
      </c>
      <c r="V12" s="311">
        <f>+Zał.1_WPF_bazowy!V7</f>
        <v>0</v>
      </c>
      <c r="W12" s="311">
        <f>+Zał.1_WPF_bazowy!W7</f>
        <v>0</v>
      </c>
      <c r="X12" s="311">
        <f>+Zał.1_WPF_bazowy!X7</f>
        <v>0</v>
      </c>
      <c r="Y12" s="311">
        <f>+Zał.1_WPF_bazowy!Y7</f>
        <v>0</v>
      </c>
      <c r="Z12" s="311">
        <f>+Zał.1_WPF_bazowy!Z7</f>
        <v>0</v>
      </c>
      <c r="AA12" s="311">
        <f>+Zał.1_WPF_bazowy!AA7</f>
        <v>0</v>
      </c>
      <c r="AB12" s="311">
        <f>+Zał.1_WPF_bazowy!AB7</f>
        <v>0</v>
      </c>
      <c r="AC12" s="311">
        <f>+Zał.1_WPF_bazowy!AC7</f>
        <v>0</v>
      </c>
      <c r="AD12" s="311">
        <f>+Zał.1_WPF_bazowy!AD7</f>
        <v>0</v>
      </c>
      <c r="AE12" s="311">
        <f>+Zał.1_WPF_bazowy!AE7</f>
        <v>0</v>
      </c>
      <c r="AF12" s="311">
        <f>+Zał.1_WPF_bazowy!AF7</f>
        <v>0</v>
      </c>
      <c r="AG12" s="311">
        <f>+Zał.1_WPF_bazowy!AG7</f>
        <v>0</v>
      </c>
      <c r="AH12" s="311">
        <f>+Zał.1_WPF_bazowy!AH7</f>
        <v>0</v>
      </c>
      <c r="AI12" s="311">
        <f>+Zał.1_WPF_bazowy!AI7</f>
        <v>0</v>
      </c>
      <c r="AJ12" s="311">
        <f>+Zał.1_WPF_bazowy!AJ7</f>
        <v>0</v>
      </c>
      <c r="AK12" s="311">
        <f>+Zał.1_WPF_bazowy!AK7</f>
        <v>0</v>
      </c>
      <c r="AL12" s="312">
        <f>+Zał.1_WPF_bazowy!AL7</f>
        <v>0</v>
      </c>
    </row>
    <row r="13" spans="1:253" outlineLevel="2">
      <c r="A13" s="375"/>
      <c r="B13" s="48" t="s">
        <v>46</v>
      </c>
      <c r="C13" s="257"/>
      <c r="D13" s="356" t="s">
        <v>216</v>
      </c>
      <c r="E13" s="246">
        <f>Zał.1_WPF_bazowy!E8</f>
        <v>9251.58</v>
      </c>
      <c r="F13" s="247">
        <f>Zał.1_WPF_bazowy!F8</f>
        <v>8263.09</v>
      </c>
      <c r="G13" s="247">
        <f>Zał.1_WPF_bazowy!G8</f>
        <v>0</v>
      </c>
      <c r="H13" s="309">
        <f>Zał.1_WPF_bazowy!H8</f>
        <v>11877.15</v>
      </c>
      <c r="I13" s="310">
        <f>+Zał.1_WPF_bazowy!I8</f>
        <v>5000</v>
      </c>
      <c r="J13" s="311">
        <f>+Zał.1_WPF_bazowy!J8</f>
        <v>6000</v>
      </c>
      <c r="K13" s="311">
        <f>+Zał.1_WPF_bazowy!K8</f>
        <v>7000</v>
      </c>
      <c r="L13" s="311">
        <f>+Zał.1_WPF_bazowy!L8</f>
        <v>7000</v>
      </c>
      <c r="M13" s="311">
        <f>+Zał.1_WPF_bazowy!M8</f>
        <v>8000</v>
      </c>
      <c r="N13" s="311">
        <f>+Zał.1_WPF_bazowy!N8</f>
        <v>9000</v>
      </c>
      <c r="O13" s="311">
        <f>+Zał.1_WPF_bazowy!O8</f>
        <v>10000</v>
      </c>
      <c r="P13" s="311">
        <f>+Zał.1_WPF_bazowy!P8</f>
        <v>11000</v>
      </c>
      <c r="Q13" s="311">
        <f>+Zał.1_WPF_bazowy!Q8</f>
        <v>12000</v>
      </c>
      <c r="R13" s="311">
        <f>+Zał.1_WPF_bazowy!R8</f>
        <v>13000</v>
      </c>
      <c r="S13" s="311">
        <f>+Zał.1_WPF_bazowy!S8</f>
        <v>14000</v>
      </c>
      <c r="T13" s="311">
        <f>+Zał.1_WPF_bazowy!T8</f>
        <v>15000</v>
      </c>
      <c r="U13" s="311">
        <f>+Zał.1_WPF_bazowy!U8</f>
        <v>16000</v>
      </c>
      <c r="V13" s="311">
        <f>+Zał.1_WPF_bazowy!V8</f>
        <v>0</v>
      </c>
      <c r="W13" s="311">
        <f>+Zał.1_WPF_bazowy!W8</f>
        <v>0</v>
      </c>
      <c r="X13" s="311">
        <f>+Zał.1_WPF_bazowy!X8</f>
        <v>0</v>
      </c>
      <c r="Y13" s="311">
        <f>+Zał.1_WPF_bazowy!Y8</f>
        <v>0</v>
      </c>
      <c r="Z13" s="311">
        <f>+Zał.1_WPF_bazowy!Z8</f>
        <v>0</v>
      </c>
      <c r="AA13" s="311">
        <f>+Zał.1_WPF_bazowy!AA8</f>
        <v>0</v>
      </c>
      <c r="AB13" s="311">
        <f>+Zał.1_WPF_bazowy!AB8</f>
        <v>0</v>
      </c>
      <c r="AC13" s="311">
        <f>+Zał.1_WPF_bazowy!AC8</f>
        <v>0</v>
      </c>
      <c r="AD13" s="311">
        <f>+Zał.1_WPF_bazowy!AD8</f>
        <v>0</v>
      </c>
      <c r="AE13" s="311">
        <f>+Zał.1_WPF_bazowy!AE8</f>
        <v>0</v>
      </c>
      <c r="AF13" s="311">
        <f>+Zał.1_WPF_bazowy!AF8</f>
        <v>0</v>
      </c>
      <c r="AG13" s="311">
        <f>+Zał.1_WPF_bazowy!AG8</f>
        <v>0</v>
      </c>
      <c r="AH13" s="311">
        <f>+Zał.1_WPF_bazowy!AH8</f>
        <v>0</v>
      </c>
      <c r="AI13" s="311">
        <f>+Zał.1_WPF_bazowy!AI8</f>
        <v>0</v>
      </c>
      <c r="AJ13" s="311">
        <f>+Zał.1_WPF_bazowy!AJ8</f>
        <v>0</v>
      </c>
      <c r="AK13" s="311">
        <f>+Zał.1_WPF_bazowy!AK8</f>
        <v>0</v>
      </c>
      <c r="AL13" s="312">
        <f>+Zał.1_WPF_bazowy!AL8</f>
        <v>0</v>
      </c>
    </row>
    <row r="14" spans="1:253" outlineLevel="2">
      <c r="A14" s="375"/>
      <c r="B14" s="48" t="s">
        <v>48</v>
      </c>
      <c r="C14" s="257"/>
      <c r="D14" s="356" t="s">
        <v>220</v>
      </c>
      <c r="E14" s="246">
        <f>Zał.1_WPF_bazowy!E9</f>
        <v>3210835.44</v>
      </c>
      <c r="F14" s="247">
        <f>Zał.1_WPF_bazowy!F9</f>
        <v>3313649.1</v>
      </c>
      <c r="G14" s="247">
        <f>Zał.1_WPF_bazowy!G9</f>
        <v>0</v>
      </c>
      <c r="H14" s="309">
        <f>Zał.1_WPF_bazowy!H9</f>
        <v>3971720.7</v>
      </c>
      <c r="I14" s="310">
        <f>+Zał.1_WPF_bazowy!I9</f>
        <v>4911346</v>
      </c>
      <c r="J14" s="311">
        <f>+Zał.1_WPF_bazowy!J9</f>
        <v>4991000</v>
      </c>
      <c r="K14" s="311">
        <f>+Zał.1_WPF_bazowy!K9</f>
        <v>5240000</v>
      </c>
      <c r="L14" s="311">
        <f>+Zał.1_WPF_bazowy!L9</f>
        <v>5240000</v>
      </c>
      <c r="M14" s="311">
        <f>+Zał.1_WPF_bazowy!M9</f>
        <v>5283000</v>
      </c>
      <c r="N14" s="311">
        <f>+Zał.1_WPF_bazowy!N9</f>
        <v>5442000</v>
      </c>
      <c r="O14" s="311">
        <f>+Zał.1_WPF_bazowy!O9</f>
        <v>5605000</v>
      </c>
      <c r="P14" s="311">
        <f>+Zał.1_WPF_bazowy!P9</f>
        <v>5773000</v>
      </c>
      <c r="Q14" s="311">
        <f>+Zał.1_WPF_bazowy!Q9</f>
        <v>5946000</v>
      </c>
      <c r="R14" s="311">
        <f>+Zał.1_WPF_bazowy!R9</f>
        <v>6125000</v>
      </c>
      <c r="S14" s="311">
        <f>+Zał.1_WPF_bazowy!S9</f>
        <v>6380000</v>
      </c>
      <c r="T14" s="311">
        <f>+Zał.1_WPF_bazowy!T9</f>
        <v>6498000</v>
      </c>
      <c r="U14" s="311">
        <f>+Zał.1_WPF_bazowy!U9</f>
        <v>6693000</v>
      </c>
      <c r="V14" s="311">
        <f>+Zał.1_WPF_bazowy!V9</f>
        <v>0</v>
      </c>
      <c r="W14" s="311">
        <f>+Zał.1_WPF_bazowy!W9</f>
        <v>0</v>
      </c>
      <c r="X14" s="311">
        <f>+Zał.1_WPF_bazowy!X9</f>
        <v>0</v>
      </c>
      <c r="Y14" s="311">
        <f>+Zał.1_WPF_bazowy!Y9</f>
        <v>0</v>
      </c>
      <c r="Z14" s="311">
        <f>+Zał.1_WPF_bazowy!Z9</f>
        <v>0</v>
      </c>
      <c r="AA14" s="311">
        <f>+Zał.1_WPF_bazowy!AA9</f>
        <v>0</v>
      </c>
      <c r="AB14" s="311">
        <f>+Zał.1_WPF_bazowy!AB9</f>
        <v>0</v>
      </c>
      <c r="AC14" s="311">
        <f>+Zał.1_WPF_bazowy!AC9</f>
        <v>0</v>
      </c>
      <c r="AD14" s="311">
        <f>+Zał.1_WPF_bazowy!AD9</f>
        <v>0</v>
      </c>
      <c r="AE14" s="311">
        <f>+Zał.1_WPF_bazowy!AE9</f>
        <v>0</v>
      </c>
      <c r="AF14" s="311">
        <f>+Zał.1_WPF_bazowy!AF9</f>
        <v>0</v>
      </c>
      <c r="AG14" s="311">
        <f>+Zał.1_WPF_bazowy!AG9</f>
        <v>0</v>
      </c>
      <c r="AH14" s="311">
        <f>+Zał.1_WPF_bazowy!AH9</f>
        <v>0</v>
      </c>
      <c r="AI14" s="311">
        <f>+Zał.1_WPF_bazowy!AI9</f>
        <v>0</v>
      </c>
      <c r="AJ14" s="311">
        <f>+Zał.1_WPF_bazowy!AJ9</f>
        <v>0</v>
      </c>
      <c r="AK14" s="311">
        <f>+Zał.1_WPF_bazowy!AK9</f>
        <v>0</v>
      </c>
      <c r="AL14" s="312">
        <f>+Zał.1_WPF_bazowy!AL9</f>
        <v>0</v>
      </c>
    </row>
    <row r="15" spans="1:253" outlineLevel="2">
      <c r="A15" s="375"/>
      <c r="B15" s="48" t="s">
        <v>50</v>
      </c>
      <c r="C15" s="257"/>
      <c r="D15" s="357" t="s">
        <v>217</v>
      </c>
      <c r="E15" s="246">
        <f>Zał.1_WPF_bazowy!E10</f>
        <v>1992817.36</v>
      </c>
      <c r="F15" s="247">
        <f>Zał.1_WPF_bazowy!F10</f>
        <v>1975049.77</v>
      </c>
      <c r="G15" s="247">
        <f>Zał.1_WPF_bazowy!G10</f>
        <v>0</v>
      </c>
      <c r="H15" s="309">
        <f>Zał.1_WPF_bazowy!H10</f>
        <v>2196048.63</v>
      </c>
      <c r="I15" s="310">
        <f>+Zał.1_WPF_bazowy!I10</f>
        <v>2900000</v>
      </c>
      <c r="J15" s="311">
        <f>+Zał.1_WPF_bazowy!J10</f>
        <v>2950000</v>
      </c>
      <c r="K15" s="311">
        <f>+Zał.1_WPF_bazowy!K10</f>
        <v>3100000</v>
      </c>
      <c r="L15" s="311">
        <f>+Zał.1_WPF_bazowy!L10</f>
        <v>3100000</v>
      </c>
      <c r="M15" s="311">
        <f>+Zał.1_WPF_bazowy!M10</f>
        <v>3130000</v>
      </c>
      <c r="N15" s="311">
        <f>+Zał.1_WPF_bazowy!N10</f>
        <v>3213000</v>
      </c>
      <c r="O15" s="311">
        <f>+Zał.1_WPF_bazowy!O10</f>
        <v>3309000</v>
      </c>
      <c r="P15" s="311">
        <f>+Zał.1_WPF_bazowy!P10</f>
        <v>3409000</v>
      </c>
      <c r="Q15" s="311">
        <f>+Zał.1_WPF_bazowy!Q10</f>
        <v>3511000</v>
      </c>
      <c r="R15" s="311">
        <f>+Zał.1_WPF_bazowy!R10</f>
        <v>3616000</v>
      </c>
      <c r="S15" s="311">
        <f>+Zał.1_WPF_bazowy!S10</f>
        <v>3725000</v>
      </c>
      <c r="T15" s="311">
        <f>+Zał.1_WPF_bazowy!T10</f>
        <v>3836000</v>
      </c>
      <c r="U15" s="311">
        <f>+Zał.1_WPF_bazowy!U10</f>
        <v>3952000</v>
      </c>
      <c r="V15" s="311">
        <f>+Zał.1_WPF_bazowy!V10</f>
        <v>0</v>
      </c>
      <c r="W15" s="311">
        <f>+Zał.1_WPF_bazowy!W10</f>
        <v>0</v>
      </c>
      <c r="X15" s="311">
        <f>+Zał.1_WPF_bazowy!X10</f>
        <v>0</v>
      </c>
      <c r="Y15" s="311">
        <f>+Zał.1_WPF_bazowy!Y10</f>
        <v>0</v>
      </c>
      <c r="Z15" s="311">
        <f>+Zał.1_WPF_bazowy!Z10</f>
        <v>0</v>
      </c>
      <c r="AA15" s="311">
        <f>+Zał.1_WPF_bazowy!AA10</f>
        <v>0</v>
      </c>
      <c r="AB15" s="311">
        <f>+Zał.1_WPF_bazowy!AB10</f>
        <v>0</v>
      </c>
      <c r="AC15" s="311">
        <f>+Zał.1_WPF_bazowy!AC10</f>
        <v>0</v>
      </c>
      <c r="AD15" s="311">
        <f>+Zał.1_WPF_bazowy!AD10</f>
        <v>0</v>
      </c>
      <c r="AE15" s="311">
        <f>+Zał.1_WPF_bazowy!AE10</f>
        <v>0</v>
      </c>
      <c r="AF15" s="311">
        <f>+Zał.1_WPF_bazowy!AF10</f>
        <v>0</v>
      </c>
      <c r="AG15" s="311">
        <f>+Zał.1_WPF_bazowy!AG10</f>
        <v>0</v>
      </c>
      <c r="AH15" s="311">
        <f>+Zał.1_WPF_bazowy!AH10</f>
        <v>0</v>
      </c>
      <c r="AI15" s="311">
        <f>+Zał.1_WPF_bazowy!AI10</f>
        <v>0</v>
      </c>
      <c r="AJ15" s="311">
        <f>+Zał.1_WPF_bazowy!AJ10</f>
        <v>0</v>
      </c>
      <c r="AK15" s="311">
        <f>+Zał.1_WPF_bazowy!AK10</f>
        <v>0</v>
      </c>
      <c r="AL15" s="312">
        <f>+Zał.1_WPF_bazowy!AL10</f>
        <v>0</v>
      </c>
    </row>
    <row r="16" spans="1:253" s="139" customFormat="1" ht="15" outlineLevel="2" thickBot="1">
      <c r="A16" s="375"/>
      <c r="B16" s="48" t="s">
        <v>52</v>
      </c>
      <c r="C16" s="257"/>
      <c r="D16" s="356" t="s">
        <v>218</v>
      </c>
      <c r="E16" s="246">
        <f>Zał.1_WPF_bazowy!E11</f>
        <v>5222259</v>
      </c>
      <c r="F16" s="247">
        <f>Zał.1_WPF_bazowy!F11</f>
        <v>5334677</v>
      </c>
      <c r="G16" s="247">
        <f>Zał.1_WPF_bazowy!G11</f>
        <v>0</v>
      </c>
      <c r="H16" s="309">
        <f>Zał.1_WPF_bazowy!H11</f>
        <v>5863857</v>
      </c>
      <c r="I16" s="310">
        <f>+Zał.1_WPF_bazowy!I11</f>
        <v>6023919</v>
      </c>
      <c r="J16" s="311">
        <f>+Zał.1_WPF_bazowy!J11</f>
        <v>6071000</v>
      </c>
      <c r="K16" s="311">
        <f>+Zał.1_WPF_bazowy!K11</f>
        <v>6374000</v>
      </c>
      <c r="L16" s="311">
        <f>+Zał.1_WPF_bazowy!L11</f>
        <v>6374000</v>
      </c>
      <c r="M16" s="311">
        <f>+Zał.1_WPF_bazowy!M11</f>
        <v>6426000</v>
      </c>
      <c r="N16" s="311">
        <f>+Zał.1_WPF_bazowy!N11</f>
        <v>6619000</v>
      </c>
      <c r="O16" s="311">
        <f>+Zał.1_WPF_bazowy!O11</f>
        <v>6818000</v>
      </c>
      <c r="P16" s="311">
        <f>+Zał.1_WPF_bazowy!P11</f>
        <v>7022000</v>
      </c>
      <c r="Q16" s="311">
        <f>+Zał.1_WPF_bazowy!Q11</f>
        <v>7233000</v>
      </c>
      <c r="R16" s="311">
        <f>+Zał.1_WPF_bazowy!R11</f>
        <v>7450000</v>
      </c>
      <c r="S16" s="311">
        <f>+Zał.1_WPF_bazowy!S11</f>
        <v>7673000</v>
      </c>
      <c r="T16" s="311">
        <f>+Zał.1_WPF_bazowy!T11</f>
        <v>7904000</v>
      </c>
      <c r="U16" s="311">
        <f>+Zał.1_WPF_bazowy!U11</f>
        <v>8141000</v>
      </c>
      <c r="V16" s="311">
        <f>+Zał.1_WPF_bazowy!V11</f>
        <v>0</v>
      </c>
      <c r="W16" s="311">
        <f>+Zał.1_WPF_bazowy!W11</f>
        <v>0</v>
      </c>
      <c r="X16" s="311">
        <f>+Zał.1_WPF_bazowy!X11</f>
        <v>0</v>
      </c>
      <c r="Y16" s="311">
        <f>+Zał.1_WPF_bazowy!Y11</f>
        <v>0</v>
      </c>
      <c r="Z16" s="311">
        <f>+Zał.1_WPF_bazowy!Z11</f>
        <v>0</v>
      </c>
      <c r="AA16" s="311">
        <f>+Zał.1_WPF_bazowy!AA11</f>
        <v>0</v>
      </c>
      <c r="AB16" s="311">
        <f>+Zał.1_WPF_bazowy!AB11</f>
        <v>0</v>
      </c>
      <c r="AC16" s="311">
        <f>+Zał.1_WPF_bazowy!AC11</f>
        <v>0</v>
      </c>
      <c r="AD16" s="311">
        <f>+Zał.1_WPF_bazowy!AD11</f>
        <v>0</v>
      </c>
      <c r="AE16" s="311">
        <f>+Zał.1_WPF_bazowy!AE11</f>
        <v>0</v>
      </c>
      <c r="AF16" s="311">
        <f>+Zał.1_WPF_bazowy!AF11</f>
        <v>0</v>
      </c>
      <c r="AG16" s="311">
        <f>+Zał.1_WPF_bazowy!AG11</f>
        <v>0</v>
      </c>
      <c r="AH16" s="311">
        <f>+Zał.1_WPF_bazowy!AH11</f>
        <v>0</v>
      </c>
      <c r="AI16" s="311">
        <f>+Zał.1_WPF_bazowy!AI11</f>
        <v>0</v>
      </c>
      <c r="AJ16" s="311">
        <f>+Zał.1_WPF_bazowy!AJ11</f>
        <v>0</v>
      </c>
      <c r="AK16" s="311">
        <f>+Zał.1_WPF_bazowy!AK11</f>
        <v>0</v>
      </c>
      <c r="AL16" s="312">
        <f>+Zał.1_WPF_bazowy!AL11</f>
        <v>0</v>
      </c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</row>
    <row r="17" spans="1:253" s="152" customFormat="1" outlineLevel="2">
      <c r="A17" s="375"/>
      <c r="B17" s="48" t="s">
        <v>54</v>
      </c>
      <c r="C17" s="257"/>
      <c r="D17" s="356" t="s">
        <v>219</v>
      </c>
      <c r="E17" s="246">
        <f>Zał.1_WPF_bazowy!E12</f>
        <v>3601430.92</v>
      </c>
      <c r="F17" s="247">
        <f>Zał.1_WPF_bazowy!F12</f>
        <v>3787259.62</v>
      </c>
      <c r="G17" s="247">
        <f>Zał.1_WPF_bazowy!G12</f>
        <v>0</v>
      </c>
      <c r="H17" s="309">
        <f>Zał.1_WPF_bazowy!H12</f>
        <v>4475079.28</v>
      </c>
      <c r="I17" s="310">
        <f>+Zał.1_WPF_bazowy!I12</f>
        <v>3746501.5</v>
      </c>
      <c r="J17" s="311">
        <f>+Zał.1_WPF_bazowy!J12</f>
        <v>3900000</v>
      </c>
      <c r="K17" s="311">
        <f>+Zał.1_WPF_bazowy!K12</f>
        <v>4100000</v>
      </c>
      <c r="L17" s="311">
        <f>+Zał.1_WPF_bazowy!L12</f>
        <v>4350000</v>
      </c>
      <c r="M17" s="311">
        <f>+Zał.1_WPF_bazowy!M12</f>
        <v>4500000</v>
      </c>
      <c r="N17" s="311">
        <f>+Zał.1_WPF_bazowy!N12</f>
        <v>4550000</v>
      </c>
      <c r="O17" s="311">
        <f>+Zał.1_WPF_bazowy!O12</f>
        <v>4350000</v>
      </c>
      <c r="P17" s="311">
        <f>+Zał.1_WPF_bazowy!P12</f>
        <v>3900000</v>
      </c>
      <c r="Q17" s="311">
        <f>+Zał.1_WPF_bazowy!Q12</f>
        <v>4090000</v>
      </c>
      <c r="R17" s="311">
        <f>+Zał.1_WPF_bazowy!R12</f>
        <v>4200000</v>
      </c>
      <c r="S17" s="311">
        <f>+Zał.1_WPF_bazowy!S12</f>
        <v>4250000</v>
      </c>
      <c r="T17" s="311">
        <f>+Zał.1_WPF_bazowy!T12</f>
        <v>4450000</v>
      </c>
      <c r="U17" s="311">
        <f>+Zał.1_WPF_bazowy!U12</f>
        <v>4600000</v>
      </c>
      <c r="V17" s="311">
        <f>+Zał.1_WPF_bazowy!V12</f>
        <v>0</v>
      </c>
      <c r="W17" s="311">
        <f>+Zał.1_WPF_bazowy!W12</f>
        <v>0</v>
      </c>
      <c r="X17" s="311">
        <f>+Zał.1_WPF_bazowy!X12</f>
        <v>0</v>
      </c>
      <c r="Y17" s="311">
        <f>+Zał.1_WPF_bazowy!Y12</f>
        <v>0</v>
      </c>
      <c r="Z17" s="311">
        <f>+Zał.1_WPF_bazowy!Z12</f>
        <v>0</v>
      </c>
      <c r="AA17" s="311">
        <f>+Zał.1_WPF_bazowy!AA12</f>
        <v>0</v>
      </c>
      <c r="AB17" s="311">
        <f>+Zał.1_WPF_bazowy!AB12</f>
        <v>0</v>
      </c>
      <c r="AC17" s="311">
        <f>+Zał.1_WPF_bazowy!AC12</f>
        <v>0</v>
      </c>
      <c r="AD17" s="311">
        <f>+Zał.1_WPF_bazowy!AD12</f>
        <v>0</v>
      </c>
      <c r="AE17" s="311">
        <f>+Zał.1_WPF_bazowy!AE12</f>
        <v>0</v>
      </c>
      <c r="AF17" s="311">
        <f>+Zał.1_WPF_bazowy!AF12</f>
        <v>0</v>
      </c>
      <c r="AG17" s="311">
        <f>+Zał.1_WPF_bazowy!AG12</f>
        <v>0</v>
      </c>
      <c r="AH17" s="311">
        <f>+Zał.1_WPF_bazowy!AH12</f>
        <v>0</v>
      </c>
      <c r="AI17" s="311">
        <f>+Zał.1_WPF_bazowy!AI12</f>
        <v>0</v>
      </c>
      <c r="AJ17" s="311">
        <f>+Zał.1_WPF_bazowy!AJ12</f>
        <v>0</v>
      </c>
      <c r="AK17" s="311">
        <f>+Zał.1_WPF_bazowy!AK12</f>
        <v>0</v>
      </c>
      <c r="AL17" s="312">
        <f>+Zał.1_WPF_bazowy!AL12</f>
        <v>0</v>
      </c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</row>
    <row r="18" spans="1:253" outlineLevel="2">
      <c r="A18" s="375" t="s">
        <v>31</v>
      </c>
      <c r="B18" s="48" t="s">
        <v>165</v>
      </c>
      <c r="C18" s="257"/>
      <c r="D18" s="355" t="s">
        <v>29</v>
      </c>
      <c r="E18" s="246">
        <f>Zał.1_WPF_bazowy!E13</f>
        <v>3032196.59</v>
      </c>
      <c r="F18" s="247">
        <f>Zał.1_WPF_bazowy!F13</f>
        <v>1732403.2</v>
      </c>
      <c r="G18" s="247">
        <f>Zał.1_WPF_bazowy!G13</f>
        <v>2687994</v>
      </c>
      <c r="H18" s="309">
        <f>Zał.1_WPF_bazowy!H13</f>
        <v>2530972.16</v>
      </c>
      <c r="I18" s="310">
        <f>+Zał.1_WPF_bazowy!I13</f>
        <v>2606760.25</v>
      </c>
      <c r="J18" s="311">
        <f>+Zał.1_WPF_bazowy!J13</f>
        <v>3450344</v>
      </c>
      <c r="K18" s="311">
        <f>+Zał.1_WPF_bazowy!K13</f>
        <v>300000</v>
      </c>
      <c r="L18" s="311">
        <f>+Zał.1_WPF_bazowy!L13</f>
        <v>300000</v>
      </c>
      <c r="M18" s="311">
        <f>+Zał.1_WPF_bazowy!M13</f>
        <v>300000</v>
      </c>
      <c r="N18" s="311">
        <f>+Zał.1_WPF_bazowy!N13</f>
        <v>300000</v>
      </c>
      <c r="O18" s="311">
        <f>+Zał.1_WPF_bazowy!O13</f>
        <v>300000</v>
      </c>
      <c r="P18" s="311">
        <f>+Zał.1_WPF_bazowy!P13</f>
        <v>300000</v>
      </c>
      <c r="Q18" s="311">
        <f>+Zał.1_WPF_bazowy!Q13</f>
        <v>300000</v>
      </c>
      <c r="R18" s="311">
        <f>+Zał.1_WPF_bazowy!R13</f>
        <v>300000</v>
      </c>
      <c r="S18" s="311">
        <f>+Zał.1_WPF_bazowy!S13</f>
        <v>300000</v>
      </c>
      <c r="T18" s="311">
        <f>+Zał.1_WPF_bazowy!T13</f>
        <v>300000</v>
      </c>
      <c r="U18" s="311">
        <f>+Zał.1_WPF_bazowy!U13</f>
        <v>300000</v>
      </c>
      <c r="V18" s="311">
        <f>+Zał.1_WPF_bazowy!V13</f>
        <v>0</v>
      </c>
      <c r="W18" s="311">
        <f>+Zał.1_WPF_bazowy!W13</f>
        <v>0</v>
      </c>
      <c r="X18" s="311">
        <f>+Zał.1_WPF_bazowy!X13</f>
        <v>0</v>
      </c>
      <c r="Y18" s="311">
        <f>+Zał.1_WPF_bazowy!Y13</f>
        <v>0</v>
      </c>
      <c r="Z18" s="311">
        <f>+Zał.1_WPF_bazowy!Z13</f>
        <v>0</v>
      </c>
      <c r="AA18" s="311">
        <f>+Zał.1_WPF_bazowy!AA13</f>
        <v>0</v>
      </c>
      <c r="AB18" s="311">
        <f>+Zał.1_WPF_bazowy!AB13</f>
        <v>0</v>
      </c>
      <c r="AC18" s="311">
        <f>+Zał.1_WPF_bazowy!AC13</f>
        <v>0</v>
      </c>
      <c r="AD18" s="311">
        <f>+Zał.1_WPF_bazowy!AD13</f>
        <v>0</v>
      </c>
      <c r="AE18" s="311">
        <f>+Zał.1_WPF_bazowy!AE13</f>
        <v>0</v>
      </c>
      <c r="AF18" s="311">
        <f>+Zał.1_WPF_bazowy!AF13</f>
        <v>0</v>
      </c>
      <c r="AG18" s="311">
        <f>+Zał.1_WPF_bazowy!AG13</f>
        <v>0</v>
      </c>
      <c r="AH18" s="311">
        <f>+Zał.1_WPF_bazowy!AH13</f>
        <v>0</v>
      </c>
      <c r="AI18" s="311">
        <f>+Zał.1_WPF_bazowy!AI13</f>
        <v>0</v>
      </c>
      <c r="AJ18" s="311">
        <f>+Zał.1_WPF_bazowy!AJ13</f>
        <v>0</v>
      </c>
      <c r="AK18" s="311">
        <f>+Zał.1_WPF_bazowy!AK13</f>
        <v>0</v>
      </c>
      <c r="AL18" s="312">
        <f>+Zał.1_WPF_bazowy!AL13</f>
        <v>0</v>
      </c>
    </row>
    <row r="19" spans="1:253" outlineLevel="2">
      <c r="A19" s="375" t="s">
        <v>31</v>
      </c>
      <c r="B19" s="48" t="s">
        <v>57</v>
      </c>
      <c r="C19" s="257"/>
      <c r="D19" s="356" t="s">
        <v>30</v>
      </c>
      <c r="E19" s="246">
        <f>Zał.1_WPF_bazowy!E14</f>
        <v>92937.99</v>
      </c>
      <c r="F19" s="247">
        <f>Zał.1_WPF_bazowy!F14</f>
        <v>125090.2</v>
      </c>
      <c r="G19" s="247">
        <f>Zał.1_WPF_bazowy!G14</f>
        <v>260000</v>
      </c>
      <c r="H19" s="309">
        <f>Zał.1_WPF_bazowy!H14</f>
        <v>195725.78</v>
      </c>
      <c r="I19" s="310">
        <f>+Zał.1_WPF_bazowy!I14</f>
        <v>1620000</v>
      </c>
      <c r="J19" s="311">
        <f>+Zał.1_WPF_bazowy!J14</f>
        <v>300000</v>
      </c>
      <c r="K19" s="311">
        <f>+Zał.1_WPF_bazowy!K14</f>
        <v>300000</v>
      </c>
      <c r="L19" s="311">
        <f>+Zał.1_WPF_bazowy!L14</f>
        <v>300000</v>
      </c>
      <c r="M19" s="311">
        <f>+Zał.1_WPF_bazowy!M14</f>
        <v>300000</v>
      </c>
      <c r="N19" s="311">
        <f>+Zał.1_WPF_bazowy!N14</f>
        <v>300000</v>
      </c>
      <c r="O19" s="311">
        <f>+Zał.1_WPF_bazowy!O14</f>
        <v>300000</v>
      </c>
      <c r="P19" s="311">
        <f>+Zał.1_WPF_bazowy!P14</f>
        <v>300000</v>
      </c>
      <c r="Q19" s="311">
        <f>+Zał.1_WPF_bazowy!Q14</f>
        <v>300000</v>
      </c>
      <c r="R19" s="311">
        <f>+Zał.1_WPF_bazowy!R14</f>
        <v>300000</v>
      </c>
      <c r="S19" s="311">
        <f>+Zał.1_WPF_bazowy!S14</f>
        <v>300000</v>
      </c>
      <c r="T19" s="311">
        <f>+Zał.1_WPF_bazowy!T14</f>
        <v>300000</v>
      </c>
      <c r="U19" s="311">
        <f>+Zał.1_WPF_bazowy!U14</f>
        <v>300000</v>
      </c>
      <c r="V19" s="311">
        <f>+Zał.1_WPF_bazowy!V14</f>
        <v>0</v>
      </c>
      <c r="W19" s="311">
        <f>+Zał.1_WPF_bazowy!W14</f>
        <v>0</v>
      </c>
      <c r="X19" s="311">
        <f>+Zał.1_WPF_bazowy!X14</f>
        <v>0</v>
      </c>
      <c r="Y19" s="311">
        <f>+Zał.1_WPF_bazowy!Y14</f>
        <v>0</v>
      </c>
      <c r="Z19" s="311">
        <f>+Zał.1_WPF_bazowy!Z14</f>
        <v>0</v>
      </c>
      <c r="AA19" s="311">
        <f>+Zał.1_WPF_bazowy!AA14</f>
        <v>0</v>
      </c>
      <c r="AB19" s="311">
        <f>+Zał.1_WPF_bazowy!AB14</f>
        <v>0</v>
      </c>
      <c r="AC19" s="311">
        <f>+Zał.1_WPF_bazowy!AC14</f>
        <v>0</v>
      </c>
      <c r="AD19" s="311">
        <f>+Zał.1_WPF_bazowy!AD14</f>
        <v>0</v>
      </c>
      <c r="AE19" s="311">
        <f>+Zał.1_WPF_bazowy!AE14</f>
        <v>0</v>
      </c>
      <c r="AF19" s="311">
        <f>+Zał.1_WPF_bazowy!AF14</f>
        <v>0</v>
      </c>
      <c r="AG19" s="311">
        <f>+Zał.1_WPF_bazowy!AG14</f>
        <v>0</v>
      </c>
      <c r="AH19" s="311">
        <f>+Zał.1_WPF_bazowy!AH14</f>
        <v>0</v>
      </c>
      <c r="AI19" s="311">
        <f>+Zał.1_WPF_bazowy!AI14</f>
        <v>0</v>
      </c>
      <c r="AJ19" s="311">
        <f>+Zał.1_WPF_bazowy!AJ14</f>
        <v>0</v>
      </c>
      <c r="AK19" s="311">
        <f>+Zał.1_WPF_bazowy!AK14</f>
        <v>0</v>
      </c>
      <c r="AL19" s="312">
        <f>+Zał.1_WPF_bazowy!AL14</f>
        <v>0</v>
      </c>
    </row>
    <row r="20" spans="1:253" outlineLevel="2">
      <c r="A20" s="375"/>
      <c r="B20" s="48" t="s">
        <v>59</v>
      </c>
      <c r="C20" s="257"/>
      <c r="D20" s="356" t="s">
        <v>221</v>
      </c>
      <c r="E20" s="246">
        <f>Zał.1_WPF_bazowy!E15</f>
        <v>2937655.22</v>
      </c>
      <c r="F20" s="247">
        <f>Zał.1_WPF_bazowy!F15</f>
        <v>1605522</v>
      </c>
      <c r="G20" s="247">
        <f>Zał.1_WPF_bazowy!G15</f>
        <v>0</v>
      </c>
      <c r="H20" s="309">
        <f>Zał.1_WPF_bazowy!H15</f>
        <v>2325716.35</v>
      </c>
      <c r="I20" s="310">
        <f>+Zał.1_WPF_bazowy!I15</f>
        <v>978221.25</v>
      </c>
      <c r="J20" s="311">
        <f>+Zał.1_WPF_bazowy!J15</f>
        <v>3150344</v>
      </c>
      <c r="K20" s="311">
        <f>+Zał.1_WPF_bazowy!K15</f>
        <v>0</v>
      </c>
      <c r="L20" s="311">
        <f>+Zał.1_WPF_bazowy!L15</f>
        <v>0</v>
      </c>
      <c r="M20" s="311">
        <f>+Zał.1_WPF_bazowy!M15</f>
        <v>0</v>
      </c>
      <c r="N20" s="311">
        <f>+Zał.1_WPF_bazowy!N15</f>
        <v>0</v>
      </c>
      <c r="O20" s="311">
        <f>+Zał.1_WPF_bazowy!O15</f>
        <v>0</v>
      </c>
      <c r="P20" s="311">
        <f>+Zał.1_WPF_bazowy!P15</f>
        <v>0</v>
      </c>
      <c r="Q20" s="311">
        <f>+Zał.1_WPF_bazowy!Q15</f>
        <v>0</v>
      </c>
      <c r="R20" s="311">
        <f>+Zał.1_WPF_bazowy!R15</f>
        <v>0</v>
      </c>
      <c r="S20" s="311">
        <f>+Zał.1_WPF_bazowy!S15</f>
        <v>0</v>
      </c>
      <c r="T20" s="311">
        <f>+Zał.1_WPF_bazowy!T15</f>
        <v>0</v>
      </c>
      <c r="U20" s="311">
        <f>+Zał.1_WPF_bazowy!U15</f>
        <v>0</v>
      </c>
      <c r="V20" s="311">
        <f>+Zał.1_WPF_bazowy!V15</f>
        <v>0</v>
      </c>
      <c r="W20" s="311">
        <f>+Zał.1_WPF_bazowy!W15</f>
        <v>0</v>
      </c>
      <c r="X20" s="311">
        <f>+Zał.1_WPF_bazowy!X15</f>
        <v>0</v>
      </c>
      <c r="Y20" s="311">
        <f>+Zał.1_WPF_bazowy!Y15</f>
        <v>0</v>
      </c>
      <c r="Z20" s="311">
        <f>+Zał.1_WPF_bazowy!Z15</f>
        <v>0</v>
      </c>
      <c r="AA20" s="311">
        <f>+Zał.1_WPF_bazowy!AA15</f>
        <v>0</v>
      </c>
      <c r="AB20" s="311">
        <f>+Zał.1_WPF_bazowy!AB15</f>
        <v>0</v>
      </c>
      <c r="AC20" s="311">
        <f>+Zał.1_WPF_bazowy!AC15</f>
        <v>0</v>
      </c>
      <c r="AD20" s="311">
        <f>+Zał.1_WPF_bazowy!AD15</f>
        <v>0</v>
      </c>
      <c r="AE20" s="311">
        <f>+Zał.1_WPF_bazowy!AE15</f>
        <v>0</v>
      </c>
      <c r="AF20" s="311">
        <f>+Zał.1_WPF_bazowy!AF15</f>
        <v>0</v>
      </c>
      <c r="AG20" s="311">
        <f>+Zał.1_WPF_bazowy!AG15</f>
        <v>0</v>
      </c>
      <c r="AH20" s="311">
        <f>+Zał.1_WPF_bazowy!AH15</f>
        <v>0</v>
      </c>
      <c r="AI20" s="311">
        <f>+Zał.1_WPF_bazowy!AI15</f>
        <v>0</v>
      </c>
      <c r="AJ20" s="311">
        <f>+Zał.1_WPF_bazowy!AJ15</f>
        <v>0</v>
      </c>
      <c r="AK20" s="311">
        <f>+Zał.1_WPF_bazowy!AK15</f>
        <v>0</v>
      </c>
      <c r="AL20" s="312">
        <f>+Zał.1_WPF_bazowy!AL15</f>
        <v>0</v>
      </c>
    </row>
    <row r="21" spans="1:253" s="149" customFormat="1" ht="15" outlineLevel="1">
      <c r="A21" s="375" t="s">
        <v>31</v>
      </c>
      <c r="B21" s="47">
        <v>2</v>
      </c>
      <c r="C21" s="256" t="s">
        <v>407</v>
      </c>
      <c r="D21" s="353" t="s">
        <v>21</v>
      </c>
      <c r="E21" s="244">
        <f>Zał.1_WPF_bazowy!E16</f>
        <v>18764728.809999999</v>
      </c>
      <c r="F21" s="245">
        <f>Zał.1_WPF_bazowy!F16</f>
        <v>22266908</v>
      </c>
      <c r="G21" s="245">
        <f>Zał.1_WPF_bazowy!G16</f>
        <v>20656887.920000002</v>
      </c>
      <c r="H21" s="122">
        <f>+H22+H28</f>
        <v>18408779.099999998</v>
      </c>
      <c r="I21" s="120">
        <f>+I22+I28</f>
        <v>20320889.75</v>
      </c>
      <c r="J21" s="121">
        <f t="shared" ref="J21:AL21" si="1">+J22+J28</f>
        <v>19193344</v>
      </c>
      <c r="K21" s="121">
        <f t="shared" si="1"/>
        <v>17500000</v>
      </c>
      <c r="L21" s="121">
        <f t="shared" si="1"/>
        <v>17543950</v>
      </c>
      <c r="M21" s="121">
        <f t="shared" si="1"/>
        <v>17637269</v>
      </c>
      <c r="N21" s="121">
        <f t="shared" si="1"/>
        <v>17945387</v>
      </c>
      <c r="O21" s="121">
        <f t="shared" si="1"/>
        <v>17568748</v>
      </c>
      <c r="P21" s="121">
        <f t="shared" si="1"/>
        <v>17507811</v>
      </c>
      <c r="Q21" s="121">
        <f t="shared" si="1"/>
        <v>18163045</v>
      </c>
      <c r="R21" s="121">
        <f t="shared" si="1"/>
        <v>18604936</v>
      </c>
      <c r="S21" s="121">
        <f t="shared" si="1"/>
        <v>19013984</v>
      </c>
      <c r="T21" s="121">
        <f t="shared" si="1"/>
        <v>19582704</v>
      </c>
      <c r="U21" s="121">
        <f t="shared" si="1"/>
        <v>21012625</v>
      </c>
      <c r="V21" s="121">
        <f t="shared" si="1"/>
        <v>0</v>
      </c>
      <c r="W21" s="121">
        <f t="shared" si="1"/>
        <v>0</v>
      </c>
      <c r="X21" s="121">
        <f t="shared" si="1"/>
        <v>0</v>
      </c>
      <c r="Y21" s="121">
        <f t="shared" si="1"/>
        <v>0</v>
      </c>
      <c r="Z21" s="121">
        <f t="shared" si="1"/>
        <v>0</v>
      </c>
      <c r="AA21" s="121">
        <f t="shared" si="1"/>
        <v>0</v>
      </c>
      <c r="AB21" s="121">
        <f t="shared" si="1"/>
        <v>0</v>
      </c>
      <c r="AC21" s="121">
        <f t="shared" si="1"/>
        <v>0</v>
      </c>
      <c r="AD21" s="121">
        <f t="shared" si="1"/>
        <v>0</v>
      </c>
      <c r="AE21" s="121">
        <f t="shared" si="1"/>
        <v>0</v>
      </c>
      <c r="AF21" s="121">
        <f t="shared" si="1"/>
        <v>0</v>
      </c>
      <c r="AG21" s="121">
        <f t="shared" si="1"/>
        <v>0</v>
      </c>
      <c r="AH21" s="121">
        <f t="shared" si="1"/>
        <v>0</v>
      </c>
      <c r="AI21" s="121">
        <f t="shared" si="1"/>
        <v>0</v>
      </c>
      <c r="AJ21" s="121">
        <f t="shared" si="1"/>
        <v>0</v>
      </c>
      <c r="AK21" s="121">
        <f t="shared" si="1"/>
        <v>0</v>
      </c>
      <c r="AL21" s="122">
        <f t="shared" si="1"/>
        <v>0</v>
      </c>
    </row>
    <row r="22" spans="1:253" outlineLevel="2">
      <c r="A22" s="375" t="s">
        <v>31</v>
      </c>
      <c r="B22" s="48" t="s">
        <v>166</v>
      </c>
      <c r="C22" s="257"/>
      <c r="D22" s="355" t="s">
        <v>222</v>
      </c>
      <c r="E22" s="246">
        <f>Zał.1_WPF_bazowy!E17</f>
        <v>14183688.6</v>
      </c>
      <c r="F22" s="247">
        <f>Zał.1_WPF_bazowy!F17</f>
        <v>14121187.48</v>
      </c>
      <c r="G22" s="247">
        <f>Zał.1_WPF_bazowy!G17</f>
        <v>15825527.92</v>
      </c>
      <c r="H22" s="309">
        <f>Zał.1_WPF_bazowy!H17</f>
        <v>15466263.529999999</v>
      </c>
      <c r="I22" s="310">
        <f>+Zał.1_WPF_bazowy!I17</f>
        <v>16881117.5</v>
      </c>
      <c r="J22" s="311">
        <f>+Zał.1_WPF_bazowy!J17</f>
        <v>16272983</v>
      </c>
      <c r="K22" s="311">
        <f>+Zał.1_WPF_bazowy!K17</f>
        <v>16273673</v>
      </c>
      <c r="L22" s="311">
        <f>+Zał.1_WPF_bazowy!L17</f>
        <v>16346533</v>
      </c>
      <c r="M22" s="311">
        <f>+Zał.1_WPF_bazowy!M17</f>
        <v>16533929</v>
      </c>
      <c r="N22" s="311">
        <f>+Zał.1_WPF_bazowy!N17</f>
        <v>16741237</v>
      </c>
      <c r="O22" s="311">
        <f>+Zał.1_WPF_bazowy!O17</f>
        <v>17061844</v>
      </c>
      <c r="P22" s="311">
        <f>+Zał.1_WPF_bazowy!P17</f>
        <v>17260149</v>
      </c>
      <c r="Q22" s="311">
        <f>+Zał.1_WPF_bazowy!Q17</f>
        <v>16966564</v>
      </c>
      <c r="R22" s="311">
        <f>+Zał.1_WPF_bazowy!R17</f>
        <v>17393510</v>
      </c>
      <c r="S22" s="311">
        <f>+Zał.1_WPF_bazowy!S17</f>
        <v>17827425</v>
      </c>
      <c r="T22" s="311">
        <f>+Zał.1_WPF_bazowy!T17</f>
        <v>18266759</v>
      </c>
      <c r="U22" s="311">
        <f>+Zał.1_WPF_bazowy!U17</f>
        <v>18718971</v>
      </c>
      <c r="V22" s="311">
        <f>+Zał.1_WPF_bazowy!V17</f>
        <v>0</v>
      </c>
      <c r="W22" s="311">
        <f>+Zał.1_WPF_bazowy!W17</f>
        <v>0</v>
      </c>
      <c r="X22" s="311">
        <f>+Zał.1_WPF_bazowy!X17</f>
        <v>0</v>
      </c>
      <c r="Y22" s="311">
        <f>+Zał.1_WPF_bazowy!Y17</f>
        <v>0</v>
      </c>
      <c r="Z22" s="311">
        <f>+Zał.1_WPF_bazowy!Z17</f>
        <v>0</v>
      </c>
      <c r="AA22" s="311">
        <f>+Zał.1_WPF_bazowy!AA17</f>
        <v>0</v>
      </c>
      <c r="AB22" s="311">
        <f>+Zał.1_WPF_bazowy!AB17</f>
        <v>0</v>
      </c>
      <c r="AC22" s="311">
        <f>+Zał.1_WPF_bazowy!AC17</f>
        <v>0</v>
      </c>
      <c r="AD22" s="311">
        <f>+Zał.1_WPF_bazowy!AD17</f>
        <v>0</v>
      </c>
      <c r="AE22" s="311">
        <f>+Zał.1_WPF_bazowy!AE17</f>
        <v>0</v>
      </c>
      <c r="AF22" s="311">
        <f>+Zał.1_WPF_bazowy!AF17</f>
        <v>0</v>
      </c>
      <c r="AG22" s="311">
        <f>+Zał.1_WPF_bazowy!AG17</f>
        <v>0</v>
      </c>
      <c r="AH22" s="311">
        <f>+Zał.1_WPF_bazowy!AH17</f>
        <v>0</v>
      </c>
      <c r="AI22" s="311">
        <f>+Zał.1_WPF_bazowy!AI17</f>
        <v>0</v>
      </c>
      <c r="AJ22" s="311">
        <f>+Zał.1_WPF_bazowy!AJ17</f>
        <v>0</v>
      </c>
      <c r="AK22" s="311">
        <f>+Zał.1_WPF_bazowy!AK17</f>
        <v>0</v>
      </c>
      <c r="AL22" s="312">
        <f>+Zał.1_WPF_bazowy!AL17</f>
        <v>0</v>
      </c>
    </row>
    <row r="23" spans="1:253" outlineLevel="2">
      <c r="A23" s="375" t="s">
        <v>31</v>
      </c>
      <c r="B23" s="48" t="s">
        <v>62</v>
      </c>
      <c r="C23" s="257"/>
      <c r="D23" s="356" t="s">
        <v>223</v>
      </c>
      <c r="E23" s="246">
        <f>Zał.1_WPF_bazowy!E18</f>
        <v>0</v>
      </c>
      <c r="F23" s="247">
        <f>Zał.1_WPF_bazowy!F18</f>
        <v>0</v>
      </c>
      <c r="G23" s="247">
        <f>Zał.1_WPF_bazowy!G18</f>
        <v>0</v>
      </c>
      <c r="H23" s="309">
        <f>Zał.1_WPF_bazowy!H18</f>
        <v>0</v>
      </c>
      <c r="I23" s="310">
        <f>+Zał.1_WPF_bazowy!I18</f>
        <v>0</v>
      </c>
      <c r="J23" s="311">
        <f>+Zał.1_WPF_bazowy!J18</f>
        <v>0</v>
      </c>
      <c r="K23" s="311">
        <f>+Zał.1_WPF_bazowy!K18</f>
        <v>0</v>
      </c>
      <c r="L23" s="311">
        <f>+Zał.1_WPF_bazowy!L18</f>
        <v>0</v>
      </c>
      <c r="M23" s="311">
        <f>+Zał.1_WPF_bazowy!M18</f>
        <v>0</v>
      </c>
      <c r="N23" s="311">
        <f>+Zał.1_WPF_bazowy!N18</f>
        <v>0</v>
      </c>
      <c r="O23" s="311">
        <f>+Zał.1_WPF_bazowy!O18</f>
        <v>0</v>
      </c>
      <c r="P23" s="311">
        <f>+Zał.1_WPF_bazowy!P18</f>
        <v>0</v>
      </c>
      <c r="Q23" s="311">
        <f>+Zał.1_WPF_bazowy!Q18</f>
        <v>0</v>
      </c>
      <c r="R23" s="311">
        <f>+Zał.1_WPF_bazowy!R18</f>
        <v>0</v>
      </c>
      <c r="S23" s="311">
        <f>+Zał.1_WPF_bazowy!S18</f>
        <v>0</v>
      </c>
      <c r="T23" s="311">
        <f>+Zał.1_WPF_bazowy!T18</f>
        <v>0</v>
      </c>
      <c r="U23" s="311">
        <f>+Zał.1_WPF_bazowy!U18</f>
        <v>0</v>
      </c>
      <c r="V23" s="311">
        <f>+Zał.1_WPF_bazowy!V18</f>
        <v>0</v>
      </c>
      <c r="W23" s="311">
        <f>+Zał.1_WPF_bazowy!W18</f>
        <v>0</v>
      </c>
      <c r="X23" s="311">
        <f>+Zał.1_WPF_bazowy!X18</f>
        <v>0</v>
      </c>
      <c r="Y23" s="311">
        <f>+Zał.1_WPF_bazowy!Y18</f>
        <v>0</v>
      </c>
      <c r="Z23" s="311">
        <f>+Zał.1_WPF_bazowy!Z18</f>
        <v>0</v>
      </c>
      <c r="AA23" s="311">
        <f>+Zał.1_WPF_bazowy!AA18</f>
        <v>0</v>
      </c>
      <c r="AB23" s="311">
        <f>+Zał.1_WPF_bazowy!AB18</f>
        <v>0</v>
      </c>
      <c r="AC23" s="311">
        <f>+Zał.1_WPF_bazowy!AC18</f>
        <v>0</v>
      </c>
      <c r="AD23" s="311">
        <f>+Zał.1_WPF_bazowy!AD18</f>
        <v>0</v>
      </c>
      <c r="AE23" s="311">
        <f>+Zał.1_WPF_bazowy!AE18</f>
        <v>0</v>
      </c>
      <c r="AF23" s="311">
        <f>+Zał.1_WPF_bazowy!AF18</f>
        <v>0</v>
      </c>
      <c r="AG23" s="311">
        <f>+Zał.1_WPF_bazowy!AG18</f>
        <v>0</v>
      </c>
      <c r="AH23" s="311">
        <f>+Zał.1_WPF_bazowy!AH18</f>
        <v>0</v>
      </c>
      <c r="AI23" s="311">
        <f>+Zał.1_WPF_bazowy!AI18</f>
        <v>0</v>
      </c>
      <c r="AJ23" s="311">
        <f>+Zał.1_WPF_bazowy!AJ18</f>
        <v>0</v>
      </c>
      <c r="AK23" s="311">
        <f>+Zał.1_WPF_bazowy!AK18</f>
        <v>0</v>
      </c>
      <c r="AL23" s="312">
        <f>+Zał.1_WPF_bazowy!AL18</f>
        <v>0</v>
      </c>
    </row>
    <row r="24" spans="1:253" ht="48" outlineLevel="2">
      <c r="A24" s="375" t="s">
        <v>31</v>
      </c>
      <c r="B24" s="48" t="s">
        <v>64</v>
      </c>
      <c r="C24" s="257"/>
      <c r="D24" s="357" t="s">
        <v>450</v>
      </c>
      <c r="E24" s="246">
        <f>Zał.1_WPF_bazowy!E19</f>
        <v>0</v>
      </c>
      <c r="F24" s="247">
        <f>Zał.1_WPF_bazowy!F19</f>
        <v>0</v>
      </c>
      <c r="G24" s="247">
        <f>Zał.1_WPF_bazowy!G19</f>
        <v>0</v>
      </c>
      <c r="H24" s="309">
        <f>Zał.1_WPF_bazowy!H19</f>
        <v>0</v>
      </c>
      <c r="I24" s="310">
        <f>+Zał.1_WPF_bazowy!I19</f>
        <v>0</v>
      </c>
      <c r="J24" s="311">
        <f>+Zał.1_WPF_bazowy!J19</f>
        <v>0</v>
      </c>
      <c r="K24" s="311">
        <f>+Zał.1_WPF_bazowy!K19</f>
        <v>0</v>
      </c>
      <c r="L24" s="311">
        <f>+Zał.1_WPF_bazowy!L19</f>
        <v>0</v>
      </c>
      <c r="M24" s="311">
        <f>+Zał.1_WPF_bazowy!M19</f>
        <v>0</v>
      </c>
      <c r="N24" s="311">
        <f>+Zał.1_WPF_bazowy!N19</f>
        <v>0</v>
      </c>
      <c r="O24" s="311">
        <f>+Zał.1_WPF_bazowy!O19</f>
        <v>0</v>
      </c>
      <c r="P24" s="311">
        <f>+Zał.1_WPF_bazowy!P19</f>
        <v>0</v>
      </c>
      <c r="Q24" s="311">
        <f>+Zał.1_WPF_bazowy!Q19</f>
        <v>0</v>
      </c>
      <c r="R24" s="311">
        <f>+Zał.1_WPF_bazowy!R19</f>
        <v>0</v>
      </c>
      <c r="S24" s="311">
        <f>+Zał.1_WPF_bazowy!S19</f>
        <v>0</v>
      </c>
      <c r="T24" s="311">
        <f>+Zał.1_WPF_bazowy!T19</f>
        <v>0</v>
      </c>
      <c r="U24" s="311">
        <f>+Zał.1_WPF_bazowy!U19</f>
        <v>0</v>
      </c>
      <c r="V24" s="311">
        <f>+Zał.1_WPF_bazowy!V19</f>
        <v>0</v>
      </c>
      <c r="W24" s="311">
        <f>+Zał.1_WPF_bazowy!W19</f>
        <v>0</v>
      </c>
      <c r="X24" s="311">
        <f>+Zał.1_WPF_bazowy!X19</f>
        <v>0</v>
      </c>
      <c r="Y24" s="311">
        <f>+Zał.1_WPF_bazowy!Y19</f>
        <v>0</v>
      </c>
      <c r="Z24" s="311">
        <f>+Zał.1_WPF_bazowy!Z19</f>
        <v>0</v>
      </c>
      <c r="AA24" s="311">
        <f>+Zał.1_WPF_bazowy!AA19</f>
        <v>0</v>
      </c>
      <c r="AB24" s="311">
        <f>+Zał.1_WPF_bazowy!AB19</f>
        <v>0</v>
      </c>
      <c r="AC24" s="311">
        <f>+Zał.1_WPF_bazowy!AC19</f>
        <v>0</v>
      </c>
      <c r="AD24" s="311">
        <f>+Zał.1_WPF_bazowy!AD19</f>
        <v>0</v>
      </c>
      <c r="AE24" s="311">
        <f>+Zał.1_WPF_bazowy!AE19</f>
        <v>0</v>
      </c>
      <c r="AF24" s="311">
        <f>+Zał.1_WPF_bazowy!AF19</f>
        <v>0</v>
      </c>
      <c r="AG24" s="311">
        <f>+Zał.1_WPF_bazowy!AG19</f>
        <v>0</v>
      </c>
      <c r="AH24" s="311">
        <f>+Zał.1_WPF_bazowy!AH19</f>
        <v>0</v>
      </c>
      <c r="AI24" s="311">
        <f>+Zał.1_WPF_bazowy!AI19</f>
        <v>0</v>
      </c>
      <c r="AJ24" s="311">
        <f>+Zał.1_WPF_bazowy!AJ19</f>
        <v>0</v>
      </c>
      <c r="AK24" s="311">
        <f>+Zał.1_WPF_bazowy!AK19</f>
        <v>0</v>
      </c>
      <c r="AL24" s="312">
        <f>+Zał.1_WPF_bazowy!AL19</f>
        <v>0</v>
      </c>
    </row>
    <row r="25" spans="1:253" ht="36" outlineLevel="2">
      <c r="A25" s="375"/>
      <c r="B25" s="48" t="s">
        <v>66</v>
      </c>
      <c r="C25" s="257"/>
      <c r="D25" s="356" t="s">
        <v>451</v>
      </c>
      <c r="E25" s="248" t="s">
        <v>31</v>
      </c>
      <c r="F25" s="249" t="s">
        <v>31</v>
      </c>
      <c r="G25" s="249" t="s">
        <v>31</v>
      </c>
      <c r="H25" s="313" t="s">
        <v>31</v>
      </c>
      <c r="I25" s="310">
        <f>+Zał.1_WPF_bazowy!I20</f>
        <v>0</v>
      </c>
      <c r="J25" s="311">
        <f>+Zał.1_WPF_bazowy!J20</f>
        <v>0</v>
      </c>
      <c r="K25" s="311">
        <f>+Zał.1_WPF_bazowy!K20</f>
        <v>0</v>
      </c>
      <c r="L25" s="311">
        <f>+Zał.1_WPF_bazowy!L20</f>
        <v>0</v>
      </c>
      <c r="M25" s="311">
        <f>+Zał.1_WPF_bazowy!M20</f>
        <v>0</v>
      </c>
      <c r="N25" s="311">
        <f>+Zał.1_WPF_bazowy!N20</f>
        <v>0</v>
      </c>
      <c r="O25" s="311">
        <f>+Zał.1_WPF_bazowy!O20</f>
        <v>0</v>
      </c>
      <c r="P25" s="311">
        <f>+Zał.1_WPF_bazowy!P20</f>
        <v>0</v>
      </c>
      <c r="Q25" s="311">
        <f>+Zał.1_WPF_bazowy!Q20</f>
        <v>0</v>
      </c>
      <c r="R25" s="311">
        <f>+Zał.1_WPF_bazowy!R20</f>
        <v>0</v>
      </c>
      <c r="S25" s="311">
        <f>+Zał.1_WPF_bazowy!S20</f>
        <v>0</v>
      </c>
      <c r="T25" s="311">
        <f>+Zał.1_WPF_bazowy!T20</f>
        <v>0</v>
      </c>
      <c r="U25" s="311">
        <f>+Zał.1_WPF_bazowy!U20</f>
        <v>0</v>
      </c>
      <c r="V25" s="311">
        <f>+Zał.1_WPF_bazowy!V20</f>
        <v>0</v>
      </c>
      <c r="W25" s="311">
        <f>+Zał.1_WPF_bazowy!W20</f>
        <v>0</v>
      </c>
      <c r="X25" s="311">
        <f>+Zał.1_WPF_bazowy!X20</f>
        <v>0</v>
      </c>
      <c r="Y25" s="311">
        <f>+Zał.1_WPF_bazowy!Y20</f>
        <v>0</v>
      </c>
      <c r="Z25" s="311">
        <f>+Zał.1_WPF_bazowy!Z20</f>
        <v>0</v>
      </c>
      <c r="AA25" s="311">
        <f>+Zał.1_WPF_bazowy!AA20</f>
        <v>0</v>
      </c>
      <c r="AB25" s="311">
        <f>+Zał.1_WPF_bazowy!AB20</f>
        <v>0</v>
      </c>
      <c r="AC25" s="311">
        <f>+Zał.1_WPF_bazowy!AC20</f>
        <v>0</v>
      </c>
      <c r="AD25" s="311">
        <f>+Zał.1_WPF_bazowy!AD20</f>
        <v>0</v>
      </c>
      <c r="AE25" s="311">
        <f>+Zał.1_WPF_bazowy!AE20</f>
        <v>0</v>
      </c>
      <c r="AF25" s="311">
        <f>+Zał.1_WPF_bazowy!AF20</f>
        <v>0</v>
      </c>
      <c r="AG25" s="311">
        <f>+Zał.1_WPF_bazowy!AG20</f>
        <v>0</v>
      </c>
      <c r="AH25" s="311">
        <f>+Zał.1_WPF_bazowy!AH20</f>
        <v>0</v>
      </c>
      <c r="AI25" s="311">
        <f>+Zał.1_WPF_bazowy!AI20</f>
        <v>0</v>
      </c>
      <c r="AJ25" s="311">
        <f>+Zał.1_WPF_bazowy!AJ20</f>
        <v>0</v>
      </c>
      <c r="AK25" s="311">
        <f>+Zał.1_WPF_bazowy!AK20</f>
        <v>0</v>
      </c>
      <c r="AL25" s="312">
        <f>+Zał.1_WPF_bazowy!AL20</f>
        <v>0</v>
      </c>
    </row>
    <row r="26" spans="1:253" outlineLevel="2">
      <c r="A26" s="375" t="s">
        <v>31</v>
      </c>
      <c r="B26" s="48" t="s">
        <v>68</v>
      </c>
      <c r="C26" s="257"/>
      <c r="D26" s="356" t="s">
        <v>224</v>
      </c>
      <c r="E26" s="246">
        <f>Zał.1_WPF_bazowy!E21</f>
        <v>120758.49</v>
      </c>
      <c r="F26" s="247">
        <f>Zał.1_WPF_bazowy!F21</f>
        <v>467814.33</v>
      </c>
      <c r="G26" s="247">
        <f>Zał.1_WPF_bazowy!G21</f>
        <v>679120</v>
      </c>
      <c r="H26" s="309">
        <f>Zał.1_WPF_bazowy!H21</f>
        <v>695470.76</v>
      </c>
      <c r="I26" s="310">
        <f>+Zał.1_WPF_bazowy!I21</f>
        <v>769690</v>
      </c>
      <c r="J26" s="311">
        <f>+Zał.1_WPF_bazowy!J21</f>
        <v>550000</v>
      </c>
      <c r="K26" s="311">
        <f>+Zał.1_WPF_bazowy!K21</f>
        <v>645000</v>
      </c>
      <c r="L26" s="311">
        <f>+Zał.1_WPF_bazowy!L21</f>
        <v>600000</v>
      </c>
      <c r="M26" s="311">
        <f>+Zał.1_WPF_bazowy!M21</f>
        <v>557000</v>
      </c>
      <c r="N26" s="311">
        <f>+Zał.1_WPF_bazowy!N21</f>
        <v>521000</v>
      </c>
      <c r="O26" s="311">
        <f>+Zał.1_WPF_bazowy!O21</f>
        <v>485000</v>
      </c>
      <c r="P26" s="311">
        <f>+Zał.1_WPF_bazowy!P21</f>
        <v>413000</v>
      </c>
      <c r="Q26" s="311">
        <f>+Zał.1_WPF_bazowy!Q21</f>
        <v>335000</v>
      </c>
      <c r="R26" s="311">
        <f>+Zał.1_WPF_bazowy!R21</f>
        <v>263000</v>
      </c>
      <c r="S26" s="311">
        <f>+Zał.1_WPF_bazowy!S21</f>
        <v>183000</v>
      </c>
      <c r="T26" s="311">
        <f>+Zał.1_WPF_bazowy!T21</f>
        <v>93000</v>
      </c>
      <c r="U26" s="311">
        <f>+Zał.1_WPF_bazowy!U21</f>
        <v>31950</v>
      </c>
      <c r="V26" s="311">
        <f>+Zał.1_WPF_bazowy!V21</f>
        <v>0</v>
      </c>
      <c r="W26" s="311">
        <f>+Zał.1_WPF_bazowy!W21</f>
        <v>0</v>
      </c>
      <c r="X26" s="311">
        <f>+Zał.1_WPF_bazowy!X21</f>
        <v>0</v>
      </c>
      <c r="Y26" s="311">
        <f>+Zał.1_WPF_bazowy!Y21</f>
        <v>0</v>
      </c>
      <c r="Z26" s="311">
        <f>+Zał.1_WPF_bazowy!Z21</f>
        <v>0</v>
      </c>
      <c r="AA26" s="311">
        <f>+Zał.1_WPF_bazowy!AA21</f>
        <v>0</v>
      </c>
      <c r="AB26" s="311">
        <f>+Zał.1_WPF_bazowy!AB21</f>
        <v>0</v>
      </c>
      <c r="AC26" s="311">
        <f>+Zał.1_WPF_bazowy!AC21</f>
        <v>0</v>
      </c>
      <c r="AD26" s="311">
        <f>+Zał.1_WPF_bazowy!AD21</f>
        <v>0</v>
      </c>
      <c r="AE26" s="311">
        <f>+Zał.1_WPF_bazowy!AE21</f>
        <v>0</v>
      </c>
      <c r="AF26" s="311">
        <f>+Zał.1_WPF_bazowy!AF21</f>
        <v>0</v>
      </c>
      <c r="AG26" s="311">
        <f>+Zał.1_WPF_bazowy!AG21</f>
        <v>0</v>
      </c>
      <c r="AH26" s="311">
        <f>+Zał.1_WPF_bazowy!AH21</f>
        <v>0</v>
      </c>
      <c r="AI26" s="311">
        <f>+Zał.1_WPF_bazowy!AI21</f>
        <v>0</v>
      </c>
      <c r="AJ26" s="311">
        <f>+Zał.1_WPF_bazowy!AJ21</f>
        <v>0</v>
      </c>
      <c r="AK26" s="311">
        <f>+Zał.1_WPF_bazowy!AK21</f>
        <v>0</v>
      </c>
      <c r="AL26" s="312">
        <f>+Zał.1_WPF_bazowy!AL21</f>
        <v>0</v>
      </c>
    </row>
    <row r="27" spans="1:253" s="153" customFormat="1" outlineLevel="2">
      <c r="A27" s="375" t="s">
        <v>31</v>
      </c>
      <c r="B27" s="48" t="s">
        <v>70</v>
      </c>
      <c r="C27" s="257"/>
      <c r="D27" s="357" t="s">
        <v>225</v>
      </c>
      <c r="E27" s="246">
        <f>Zał.1_WPF_bazowy!E22</f>
        <v>106758.49</v>
      </c>
      <c r="F27" s="247">
        <f>Zał.1_WPF_bazowy!F22</f>
        <v>439714.33</v>
      </c>
      <c r="G27" s="247">
        <f>Zał.1_WPF_bazowy!G22</f>
        <v>669120</v>
      </c>
      <c r="H27" s="309">
        <f>Zał.1_WPF_bazowy!H22</f>
        <v>685470.76</v>
      </c>
      <c r="I27" s="310">
        <f>+Zał.1_WPF_bazowy!I22</f>
        <v>759690</v>
      </c>
      <c r="J27" s="311">
        <f>+Zał.1_WPF_bazowy!J22</f>
        <v>550000</v>
      </c>
      <c r="K27" s="311">
        <f>+Zał.1_WPF_bazowy!K22</f>
        <v>645000</v>
      </c>
      <c r="L27" s="311">
        <f>+Zał.1_WPF_bazowy!L22</f>
        <v>600000</v>
      </c>
      <c r="M27" s="311">
        <f>+Zał.1_WPF_bazowy!M22</f>
        <v>557000</v>
      </c>
      <c r="N27" s="311">
        <f>+Zał.1_WPF_bazowy!N22</f>
        <v>521000</v>
      </c>
      <c r="O27" s="311">
        <f>+Zał.1_WPF_bazowy!O22</f>
        <v>485000</v>
      </c>
      <c r="P27" s="311">
        <f>+Zał.1_WPF_bazowy!P22</f>
        <v>413000</v>
      </c>
      <c r="Q27" s="311">
        <f>+Zał.1_WPF_bazowy!Q22</f>
        <v>335000</v>
      </c>
      <c r="R27" s="311">
        <f>+Zał.1_WPF_bazowy!R22</f>
        <v>263000</v>
      </c>
      <c r="S27" s="311">
        <f>+Zał.1_WPF_bazowy!S22</f>
        <v>183000</v>
      </c>
      <c r="T27" s="311">
        <f>+Zał.1_WPF_bazowy!T22</f>
        <v>93000</v>
      </c>
      <c r="U27" s="311">
        <f>+Zał.1_WPF_bazowy!U22</f>
        <v>31950</v>
      </c>
      <c r="V27" s="311">
        <f>+Zał.1_WPF_bazowy!V22</f>
        <v>0</v>
      </c>
      <c r="W27" s="311">
        <f>+Zał.1_WPF_bazowy!W22</f>
        <v>0</v>
      </c>
      <c r="X27" s="311">
        <f>+Zał.1_WPF_bazowy!X22</f>
        <v>0</v>
      </c>
      <c r="Y27" s="311">
        <f>+Zał.1_WPF_bazowy!Y22</f>
        <v>0</v>
      </c>
      <c r="Z27" s="311">
        <f>+Zał.1_WPF_bazowy!Z22</f>
        <v>0</v>
      </c>
      <c r="AA27" s="311">
        <f>+Zał.1_WPF_bazowy!AA22</f>
        <v>0</v>
      </c>
      <c r="AB27" s="311">
        <f>+Zał.1_WPF_bazowy!AB22</f>
        <v>0</v>
      </c>
      <c r="AC27" s="311">
        <f>+Zał.1_WPF_bazowy!AC22</f>
        <v>0</v>
      </c>
      <c r="AD27" s="311">
        <f>+Zał.1_WPF_bazowy!AD22</f>
        <v>0</v>
      </c>
      <c r="AE27" s="311">
        <f>+Zał.1_WPF_bazowy!AE22</f>
        <v>0</v>
      </c>
      <c r="AF27" s="311">
        <f>+Zał.1_WPF_bazowy!AF22</f>
        <v>0</v>
      </c>
      <c r="AG27" s="311">
        <f>+Zał.1_WPF_bazowy!AG22</f>
        <v>0</v>
      </c>
      <c r="AH27" s="311">
        <f>+Zał.1_WPF_bazowy!AH22</f>
        <v>0</v>
      </c>
      <c r="AI27" s="311">
        <f>+Zał.1_WPF_bazowy!AI22</f>
        <v>0</v>
      </c>
      <c r="AJ27" s="311">
        <f>+Zał.1_WPF_bazowy!AJ22</f>
        <v>0</v>
      </c>
      <c r="AK27" s="311">
        <f>+Zał.1_WPF_bazowy!AK22</f>
        <v>0</v>
      </c>
      <c r="AL27" s="312">
        <f>+Zał.1_WPF_bazowy!AL22</f>
        <v>0</v>
      </c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</row>
    <row r="28" spans="1:253" s="153" customFormat="1" outlineLevel="2">
      <c r="A28" s="375" t="s">
        <v>31</v>
      </c>
      <c r="B28" s="48" t="s">
        <v>167</v>
      </c>
      <c r="C28" s="257"/>
      <c r="D28" s="355" t="s">
        <v>22</v>
      </c>
      <c r="E28" s="246">
        <f>Zał.1_WPF_bazowy!E23</f>
        <v>4581040.21</v>
      </c>
      <c r="F28" s="247">
        <f>Zał.1_WPF_bazowy!F23</f>
        <v>8145720.5199999996</v>
      </c>
      <c r="G28" s="247">
        <f>Zał.1_WPF_bazowy!G23</f>
        <v>4831360</v>
      </c>
      <c r="H28" s="309">
        <f>Zał.1_WPF_bazowy!H23</f>
        <v>2942515.57</v>
      </c>
      <c r="I28" s="310">
        <f>+Zał.1_WPF_bazowy!I23</f>
        <v>3439772.25</v>
      </c>
      <c r="J28" s="311">
        <f>+Zał.1_WPF_bazowy!J23</f>
        <v>2920361</v>
      </c>
      <c r="K28" s="311">
        <f>+Zał.1_WPF_bazowy!K23</f>
        <v>1226327</v>
      </c>
      <c r="L28" s="311">
        <f>+Zał.1_WPF_bazowy!L23</f>
        <v>1197417</v>
      </c>
      <c r="M28" s="311">
        <f>+Zał.1_WPF_bazowy!M23</f>
        <v>1103340</v>
      </c>
      <c r="N28" s="311">
        <f>+Zał.1_WPF_bazowy!N23</f>
        <v>1204150</v>
      </c>
      <c r="O28" s="311">
        <f>+Zał.1_WPF_bazowy!O23</f>
        <v>506904</v>
      </c>
      <c r="P28" s="311">
        <f>+Zał.1_WPF_bazowy!P23</f>
        <v>247662</v>
      </c>
      <c r="Q28" s="311">
        <f>+Zał.1_WPF_bazowy!Q23</f>
        <v>1196481</v>
      </c>
      <c r="R28" s="311">
        <f>+Zał.1_WPF_bazowy!R23</f>
        <v>1211426</v>
      </c>
      <c r="S28" s="311">
        <f>+Zał.1_WPF_bazowy!S23</f>
        <v>1186559</v>
      </c>
      <c r="T28" s="311">
        <f>+Zał.1_WPF_bazowy!T23</f>
        <v>1315945</v>
      </c>
      <c r="U28" s="311">
        <f>+Zał.1_WPF_bazowy!U23</f>
        <v>2293654</v>
      </c>
      <c r="V28" s="311">
        <f>+Zał.1_WPF_bazowy!V23</f>
        <v>0</v>
      </c>
      <c r="W28" s="311">
        <f>+Zał.1_WPF_bazowy!W23</f>
        <v>0</v>
      </c>
      <c r="X28" s="311">
        <f>+Zał.1_WPF_bazowy!X23</f>
        <v>0</v>
      </c>
      <c r="Y28" s="311">
        <f>+Zał.1_WPF_bazowy!Y23</f>
        <v>0</v>
      </c>
      <c r="Z28" s="311">
        <f>+Zał.1_WPF_bazowy!Z23</f>
        <v>0</v>
      </c>
      <c r="AA28" s="311">
        <f>+Zał.1_WPF_bazowy!AA23</f>
        <v>0</v>
      </c>
      <c r="AB28" s="311">
        <f>+Zał.1_WPF_bazowy!AB23</f>
        <v>0</v>
      </c>
      <c r="AC28" s="311">
        <f>+Zał.1_WPF_bazowy!AC23</f>
        <v>0</v>
      </c>
      <c r="AD28" s="311">
        <f>+Zał.1_WPF_bazowy!AD23</f>
        <v>0</v>
      </c>
      <c r="AE28" s="311">
        <f>+Zał.1_WPF_bazowy!AE23</f>
        <v>0</v>
      </c>
      <c r="AF28" s="311">
        <f>+Zał.1_WPF_bazowy!AF23</f>
        <v>0</v>
      </c>
      <c r="AG28" s="311">
        <f>+Zał.1_WPF_bazowy!AG23</f>
        <v>0</v>
      </c>
      <c r="AH28" s="311">
        <f>+Zał.1_WPF_bazowy!AH23</f>
        <v>0</v>
      </c>
      <c r="AI28" s="311">
        <f>+Zał.1_WPF_bazowy!AI23</f>
        <v>0</v>
      </c>
      <c r="AJ28" s="311">
        <f>+Zał.1_WPF_bazowy!AJ23</f>
        <v>0</v>
      </c>
      <c r="AK28" s="311">
        <f>+Zał.1_WPF_bazowy!AK23</f>
        <v>0</v>
      </c>
      <c r="AL28" s="312">
        <f>+Zał.1_WPF_bazowy!AL23</f>
        <v>0</v>
      </c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</row>
    <row r="29" spans="1:253" s="149" customFormat="1" ht="15" outlineLevel="1">
      <c r="A29" s="375" t="s">
        <v>31</v>
      </c>
      <c r="B29" s="47">
        <v>3</v>
      </c>
      <c r="C29" s="256" t="s">
        <v>408</v>
      </c>
      <c r="D29" s="353" t="s">
        <v>23</v>
      </c>
      <c r="E29" s="244">
        <f>Zał.1_WPF_bazowy!E24</f>
        <v>-2404070.91</v>
      </c>
      <c r="F29" s="245">
        <f>Zał.1_WPF_bazowy!F24</f>
        <v>-6401042.8399999999</v>
      </c>
      <c r="G29" s="245">
        <f>Zał.1_WPF_bazowy!G24</f>
        <v>-2236019</v>
      </c>
      <c r="H29" s="122">
        <f>+H10-H21</f>
        <v>101831.30000000075</v>
      </c>
      <c r="I29" s="120">
        <f>+I10-I21</f>
        <v>-1247000</v>
      </c>
      <c r="J29" s="121">
        <f t="shared" ref="J29:AL29" si="2">+J10-J21</f>
        <v>1057000</v>
      </c>
      <c r="K29" s="121">
        <f t="shared" si="2"/>
        <v>100000</v>
      </c>
      <c r="L29" s="121">
        <f t="shared" si="2"/>
        <v>400000</v>
      </c>
      <c r="M29" s="121">
        <f t="shared" si="2"/>
        <v>600000</v>
      </c>
      <c r="N29" s="121">
        <f t="shared" si="2"/>
        <v>600000</v>
      </c>
      <c r="O29" s="121">
        <f t="shared" si="2"/>
        <v>1200000</v>
      </c>
      <c r="P29" s="121">
        <f t="shared" si="2"/>
        <v>1300000</v>
      </c>
      <c r="Q29" s="121">
        <f t="shared" si="2"/>
        <v>1200000</v>
      </c>
      <c r="R29" s="121">
        <f t="shared" si="2"/>
        <v>1330000</v>
      </c>
      <c r="S29" s="121">
        <f t="shared" si="2"/>
        <v>1510000</v>
      </c>
      <c r="T29" s="121">
        <f t="shared" si="2"/>
        <v>1548000</v>
      </c>
      <c r="U29" s="121">
        <f t="shared" si="2"/>
        <v>743000</v>
      </c>
      <c r="V29" s="121">
        <f t="shared" si="2"/>
        <v>0</v>
      </c>
      <c r="W29" s="121">
        <f t="shared" si="2"/>
        <v>0</v>
      </c>
      <c r="X29" s="121">
        <f t="shared" si="2"/>
        <v>0</v>
      </c>
      <c r="Y29" s="121">
        <f t="shared" si="2"/>
        <v>0</v>
      </c>
      <c r="Z29" s="121">
        <f t="shared" si="2"/>
        <v>0</v>
      </c>
      <c r="AA29" s="121">
        <f t="shared" si="2"/>
        <v>0</v>
      </c>
      <c r="AB29" s="121">
        <f t="shared" si="2"/>
        <v>0</v>
      </c>
      <c r="AC29" s="121">
        <f t="shared" si="2"/>
        <v>0</v>
      </c>
      <c r="AD29" s="121">
        <f t="shared" si="2"/>
        <v>0</v>
      </c>
      <c r="AE29" s="121">
        <f t="shared" si="2"/>
        <v>0</v>
      </c>
      <c r="AF29" s="121">
        <f t="shared" si="2"/>
        <v>0</v>
      </c>
      <c r="AG29" s="121">
        <f t="shared" si="2"/>
        <v>0</v>
      </c>
      <c r="AH29" s="121">
        <f t="shared" si="2"/>
        <v>0</v>
      </c>
      <c r="AI29" s="121">
        <f t="shared" si="2"/>
        <v>0</v>
      </c>
      <c r="AJ29" s="121">
        <f t="shared" si="2"/>
        <v>0</v>
      </c>
      <c r="AK29" s="121">
        <f t="shared" si="2"/>
        <v>0</v>
      </c>
      <c r="AL29" s="122">
        <f t="shared" si="2"/>
        <v>0</v>
      </c>
    </row>
    <row r="30" spans="1:253" s="149" customFormat="1" ht="15" outlineLevel="1">
      <c r="A30" s="375" t="s">
        <v>31</v>
      </c>
      <c r="B30" s="47">
        <v>4</v>
      </c>
      <c r="C30" s="256" t="s">
        <v>409</v>
      </c>
      <c r="D30" s="353" t="s">
        <v>24</v>
      </c>
      <c r="E30" s="244">
        <f>Zał.1_WPF_bazowy!E25</f>
        <v>5530000</v>
      </c>
      <c r="F30" s="245">
        <f>Zał.1_WPF_bazowy!F25</f>
        <v>8395000</v>
      </c>
      <c r="G30" s="245">
        <f>Zał.1_WPF_bazowy!G25</f>
        <v>5686791</v>
      </c>
      <c r="H30" s="122">
        <f>+H31+H33+H35+H37</f>
        <v>5432306.8399999999</v>
      </c>
      <c r="I30" s="120">
        <f>+I31+I33+I35+I37</f>
        <v>3352000</v>
      </c>
      <c r="J30" s="121">
        <f t="shared" ref="J30:AL30" si="3">+J31+J33+J35+J37</f>
        <v>0</v>
      </c>
      <c r="K30" s="121">
        <f t="shared" si="3"/>
        <v>0</v>
      </c>
      <c r="L30" s="121">
        <f t="shared" si="3"/>
        <v>0</v>
      </c>
      <c r="M30" s="121">
        <f t="shared" si="3"/>
        <v>0</v>
      </c>
      <c r="N30" s="121">
        <f t="shared" si="3"/>
        <v>0</v>
      </c>
      <c r="O30" s="121">
        <f t="shared" si="3"/>
        <v>0</v>
      </c>
      <c r="P30" s="121">
        <f t="shared" si="3"/>
        <v>0</v>
      </c>
      <c r="Q30" s="121">
        <f t="shared" si="3"/>
        <v>0</v>
      </c>
      <c r="R30" s="121">
        <f t="shared" si="3"/>
        <v>0</v>
      </c>
      <c r="S30" s="121">
        <f t="shared" si="3"/>
        <v>0</v>
      </c>
      <c r="T30" s="121">
        <f t="shared" si="3"/>
        <v>0</v>
      </c>
      <c r="U30" s="121">
        <f t="shared" si="3"/>
        <v>0</v>
      </c>
      <c r="V30" s="121">
        <f t="shared" si="3"/>
        <v>0</v>
      </c>
      <c r="W30" s="121">
        <f t="shared" si="3"/>
        <v>0</v>
      </c>
      <c r="X30" s="121">
        <f t="shared" si="3"/>
        <v>0</v>
      </c>
      <c r="Y30" s="121">
        <f t="shared" si="3"/>
        <v>0</v>
      </c>
      <c r="Z30" s="121">
        <f t="shared" si="3"/>
        <v>0</v>
      </c>
      <c r="AA30" s="121">
        <f t="shared" si="3"/>
        <v>0</v>
      </c>
      <c r="AB30" s="121">
        <f t="shared" si="3"/>
        <v>0</v>
      </c>
      <c r="AC30" s="121">
        <f t="shared" si="3"/>
        <v>0</v>
      </c>
      <c r="AD30" s="121">
        <f t="shared" si="3"/>
        <v>0</v>
      </c>
      <c r="AE30" s="121">
        <f t="shared" si="3"/>
        <v>0</v>
      </c>
      <c r="AF30" s="121">
        <f t="shared" si="3"/>
        <v>0</v>
      </c>
      <c r="AG30" s="121">
        <f t="shared" si="3"/>
        <v>0</v>
      </c>
      <c r="AH30" s="121">
        <f t="shared" si="3"/>
        <v>0</v>
      </c>
      <c r="AI30" s="121">
        <f t="shared" si="3"/>
        <v>0</v>
      </c>
      <c r="AJ30" s="121">
        <f t="shared" si="3"/>
        <v>0</v>
      </c>
      <c r="AK30" s="121">
        <f t="shared" si="3"/>
        <v>0</v>
      </c>
      <c r="AL30" s="122">
        <f t="shared" si="3"/>
        <v>0</v>
      </c>
    </row>
    <row r="31" spans="1:253" outlineLevel="2">
      <c r="A31" s="375" t="s">
        <v>31</v>
      </c>
      <c r="B31" s="48" t="s">
        <v>168</v>
      </c>
      <c r="C31" s="257"/>
      <c r="D31" s="355" t="s">
        <v>227</v>
      </c>
      <c r="E31" s="246">
        <f>Zał.1_WPF_bazowy!E26</f>
        <v>0</v>
      </c>
      <c r="F31" s="247">
        <f>Zał.1_WPF_bazowy!F26</f>
        <v>0</v>
      </c>
      <c r="G31" s="247">
        <f>Zał.1_WPF_bazowy!G26</f>
        <v>0</v>
      </c>
      <c r="H31" s="309">
        <f>Zał.1_WPF_bazowy!H26</f>
        <v>0</v>
      </c>
      <c r="I31" s="310">
        <f>+Zał.1_WPF_bazowy!I26</f>
        <v>0</v>
      </c>
      <c r="J31" s="311">
        <f>+Zał.1_WPF_bazowy!J26</f>
        <v>0</v>
      </c>
      <c r="K31" s="311">
        <f>+Zał.1_WPF_bazowy!K26</f>
        <v>0</v>
      </c>
      <c r="L31" s="311">
        <f>+Zał.1_WPF_bazowy!L26</f>
        <v>0</v>
      </c>
      <c r="M31" s="311">
        <f>+Zał.1_WPF_bazowy!M26</f>
        <v>0</v>
      </c>
      <c r="N31" s="311">
        <f>+Zał.1_WPF_bazowy!N26</f>
        <v>0</v>
      </c>
      <c r="O31" s="311">
        <f>+Zał.1_WPF_bazowy!O26</f>
        <v>0</v>
      </c>
      <c r="P31" s="311">
        <f>+Zał.1_WPF_bazowy!P26</f>
        <v>0</v>
      </c>
      <c r="Q31" s="311">
        <f>+Zał.1_WPF_bazowy!Q26</f>
        <v>0</v>
      </c>
      <c r="R31" s="311">
        <f>+Zał.1_WPF_bazowy!R26</f>
        <v>0</v>
      </c>
      <c r="S31" s="311">
        <f>+Zał.1_WPF_bazowy!S26</f>
        <v>0</v>
      </c>
      <c r="T31" s="311">
        <f>+Zał.1_WPF_bazowy!T26</f>
        <v>0</v>
      </c>
      <c r="U31" s="311">
        <f>+Zał.1_WPF_bazowy!U26</f>
        <v>0</v>
      </c>
      <c r="V31" s="311">
        <f>+Zał.1_WPF_bazowy!V26</f>
        <v>0</v>
      </c>
      <c r="W31" s="311">
        <f>+Zał.1_WPF_bazowy!W26</f>
        <v>0</v>
      </c>
      <c r="X31" s="311">
        <f>+Zał.1_WPF_bazowy!X26</f>
        <v>0</v>
      </c>
      <c r="Y31" s="311">
        <f>+Zał.1_WPF_bazowy!Y26</f>
        <v>0</v>
      </c>
      <c r="Z31" s="311">
        <f>+Zał.1_WPF_bazowy!Z26</f>
        <v>0</v>
      </c>
      <c r="AA31" s="311">
        <f>+Zał.1_WPF_bazowy!AA26</f>
        <v>0</v>
      </c>
      <c r="AB31" s="311">
        <f>+Zał.1_WPF_bazowy!AB26</f>
        <v>0</v>
      </c>
      <c r="AC31" s="311">
        <f>+Zał.1_WPF_bazowy!AC26</f>
        <v>0</v>
      </c>
      <c r="AD31" s="311">
        <f>+Zał.1_WPF_bazowy!AD26</f>
        <v>0</v>
      </c>
      <c r="AE31" s="311">
        <f>+Zał.1_WPF_bazowy!AE26</f>
        <v>0</v>
      </c>
      <c r="AF31" s="311">
        <f>+Zał.1_WPF_bazowy!AF26</f>
        <v>0</v>
      </c>
      <c r="AG31" s="311">
        <f>+Zał.1_WPF_bazowy!AG26</f>
        <v>0</v>
      </c>
      <c r="AH31" s="311">
        <f>+Zał.1_WPF_bazowy!AH26</f>
        <v>0</v>
      </c>
      <c r="AI31" s="311">
        <f>+Zał.1_WPF_bazowy!AI26</f>
        <v>0</v>
      </c>
      <c r="AJ31" s="311">
        <f>+Zał.1_WPF_bazowy!AJ26</f>
        <v>0</v>
      </c>
      <c r="AK31" s="311">
        <f>+Zał.1_WPF_bazowy!AK26</f>
        <v>0</v>
      </c>
      <c r="AL31" s="312">
        <f>+Zał.1_WPF_bazowy!AL26</f>
        <v>0</v>
      </c>
    </row>
    <row r="32" spans="1:253" outlineLevel="2">
      <c r="A32" s="375" t="s">
        <v>31</v>
      </c>
      <c r="B32" s="48" t="s">
        <v>74</v>
      </c>
      <c r="C32" s="257"/>
      <c r="D32" s="356" t="s">
        <v>228</v>
      </c>
      <c r="E32" s="246">
        <f>Zał.1_WPF_bazowy!E27</f>
        <v>0</v>
      </c>
      <c r="F32" s="247">
        <f>Zał.1_WPF_bazowy!F27</f>
        <v>0</v>
      </c>
      <c r="G32" s="247">
        <f>Zał.1_WPF_bazowy!G27</f>
        <v>0</v>
      </c>
      <c r="H32" s="309">
        <f>Zał.1_WPF_bazowy!H27</f>
        <v>0</v>
      </c>
      <c r="I32" s="310">
        <f>+Zał.1_WPF_bazowy!I27</f>
        <v>0</v>
      </c>
      <c r="J32" s="311">
        <f>+Zał.1_WPF_bazowy!J27</f>
        <v>0</v>
      </c>
      <c r="K32" s="311">
        <f>+Zał.1_WPF_bazowy!K27</f>
        <v>0</v>
      </c>
      <c r="L32" s="311">
        <f>+Zał.1_WPF_bazowy!L27</f>
        <v>0</v>
      </c>
      <c r="M32" s="311">
        <f>+Zał.1_WPF_bazowy!M27</f>
        <v>0</v>
      </c>
      <c r="N32" s="311">
        <f>+Zał.1_WPF_bazowy!N27</f>
        <v>0</v>
      </c>
      <c r="O32" s="311">
        <f>+Zał.1_WPF_bazowy!O27</f>
        <v>0</v>
      </c>
      <c r="P32" s="311">
        <f>+Zał.1_WPF_bazowy!P27</f>
        <v>0</v>
      </c>
      <c r="Q32" s="311">
        <f>+Zał.1_WPF_bazowy!Q27</f>
        <v>0</v>
      </c>
      <c r="R32" s="311">
        <f>+Zał.1_WPF_bazowy!R27</f>
        <v>0</v>
      </c>
      <c r="S32" s="311">
        <f>+Zał.1_WPF_bazowy!S27</f>
        <v>0</v>
      </c>
      <c r="T32" s="311">
        <f>+Zał.1_WPF_bazowy!T27</f>
        <v>0</v>
      </c>
      <c r="U32" s="311">
        <f>+Zał.1_WPF_bazowy!U27</f>
        <v>0</v>
      </c>
      <c r="V32" s="311">
        <f>+Zał.1_WPF_bazowy!V27</f>
        <v>0</v>
      </c>
      <c r="W32" s="311">
        <f>+Zał.1_WPF_bazowy!W27</f>
        <v>0</v>
      </c>
      <c r="X32" s="311">
        <f>+Zał.1_WPF_bazowy!X27</f>
        <v>0</v>
      </c>
      <c r="Y32" s="311">
        <f>+Zał.1_WPF_bazowy!Y27</f>
        <v>0</v>
      </c>
      <c r="Z32" s="311">
        <f>+Zał.1_WPF_bazowy!Z27</f>
        <v>0</v>
      </c>
      <c r="AA32" s="311">
        <f>+Zał.1_WPF_bazowy!AA27</f>
        <v>0</v>
      </c>
      <c r="AB32" s="311">
        <f>+Zał.1_WPF_bazowy!AB27</f>
        <v>0</v>
      </c>
      <c r="AC32" s="311">
        <f>+Zał.1_WPF_bazowy!AC27</f>
        <v>0</v>
      </c>
      <c r="AD32" s="311">
        <f>+Zał.1_WPF_bazowy!AD27</f>
        <v>0</v>
      </c>
      <c r="AE32" s="311">
        <f>+Zał.1_WPF_bazowy!AE27</f>
        <v>0</v>
      </c>
      <c r="AF32" s="311">
        <f>+Zał.1_WPF_bazowy!AF27</f>
        <v>0</v>
      </c>
      <c r="AG32" s="311">
        <f>+Zał.1_WPF_bazowy!AG27</f>
        <v>0</v>
      </c>
      <c r="AH32" s="311">
        <f>+Zał.1_WPF_bazowy!AH27</f>
        <v>0</v>
      </c>
      <c r="AI32" s="311">
        <f>+Zał.1_WPF_bazowy!AI27</f>
        <v>0</v>
      </c>
      <c r="AJ32" s="311">
        <f>+Zał.1_WPF_bazowy!AJ27</f>
        <v>0</v>
      </c>
      <c r="AK32" s="311">
        <f>+Zał.1_WPF_bazowy!AK27</f>
        <v>0</v>
      </c>
      <c r="AL32" s="312">
        <f>+Zał.1_WPF_bazowy!AL27</f>
        <v>0</v>
      </c>
    </row>
    <row r="33" spans="1:253" outlineLevel="2">
      <c r="A33" s="375" t="s">
        <v>31</v>
      </c>
      <c r="B33" s="48" t="s">
        <v>169</v>
      </c>
      <c r="C33" s="257"/>
      <c r="D33" s="355" t="s">
        <v>229</v>
      </c>
      <c r="E33" s="246">
        <f>Zał.1_WPF_bazowy!E28</f>
        <v>0</v>
      </c>
      <c r="F33" s="247">
        <f>Zał.1_WPF_bazowy!F28</f>
        <v>0</v>
      </c>
      <c r="G33" s="247">
        <f>Zał.1_WPF_bazowy!G28</f>
        <v>2186791</v>
      </c>
      <c r="H33" s="309">
        <f>Zał.1_WPF_bazowy!H28</f>
        <v>2232306.84</v>
      </c>
      <c r="I33" s="310">
        <f>+Zał.1_WPF_bazowy!I28</f>
        <v>2052000</v>
      </c>
      <c r="J33" s="311">
        <f>+Zał.1_WPF_bazowy!J28</f>
        <v>0</v>
      </c>
      <c r="K33" s="311">
        <f>+Zał.1_WPF_bazowy!K28</f>
        <v>0</v>
      </c>
      <c r="L33" s="311">
        <f>+Zał.1_WPF_bazowy!L28</f>
        <v>0</v>
      </c>
      <c r="M33" s="311">
        <f>+Zał.1_WPF_bazowy!M28</f>
        <v>0</v>
      </c>
      <c r="N33" s="311">
        <f>+Zał.1_WPF_bazowy!N28</f>
        <v>0</v>
      </c>
      <c r="O33" s="311">
        <f>+Zał.1_WPF_bazowy!O28</f>
        <v>0</v>
      </c>
      <c r="P33" s="311">
        <f>+Zał.1_WPF_bazowy!P28</f>
        <v>0</v>
      </c>
      <c r="Q33" s="311">
        <f>+Zał.1_WPF_bazowy!Q28</f>
        <v>0</v>
      </c>
      <c r="R33" s="311">
        <f>+Zał.1_WPF_bazowy!R28</f>
        <v>0</v>
      </c>
      <c r="S33" s="311">
        <f>+Zał.1_WPF_bazowy!S28</f>
        <v>0</v>
      </c>
      <c r="T33" s="311">
        <f>+Zał.1_WPF_bazowy!T28</f>
        <v>0</v>
      </c>
      <c r="U33" s="311">
        <f>+Zał.1_WPF_bazowy!U28</f>
        <v>0</v>
      </c>
      <c r="V33" s="311">
        <f>+Zał.1_WPF_bazowy!V28</f>
        <v>0</v>
      </c>
      <c r="W33" s="311">
        <f>+Zał.1_WPF_bazowy!W28</f>
        <v>0</v>
      </c>
      <c r="X33" s="311">
        <f>+Zał.1_WPF_bazowy!X28</f>
        <v>0</v>
      </c>
      <c r="Y33" s="311">
        <f>+Zał.1_WPF_bazowy!Y28</f>
        <v>0</v>
      </c>
      <c r="Z33" s="311">
        <f>+Zał.1_WPF_bazowy!Z28</f>
        <v>0</v>
      </c>
      <c r="AA33" s="311">
        <f>+Zał.1_WPF_bazowy!AA28</f>
        <v>0</v>
      </c>
      <c r="AB33" s="311">
        <f>+Zał.1_WPF_bazowy!AB28</f>
        <v>0</v>
      </c>
      <c r="AC33" s="311">
        <f>+Zał.1_WPF_bazowy!AC28</f>
        <v>0</v>
      </c>
      <c r="AD33" s="311">
        <f>+Zał.1_WPF_bazowy!AD28</f>
        <v>0</v>
      </c>
      <c r="AE33" s="311">
        <f>+Zał.1_WPF_bazowy!AE28</f>
        <v>0</v>
      </c>
      <c r="AF33" s="311">
        <f>+Zał.1_WPF_bazowy!AF28</f>
        <v>0</v>
      </c>
      <c r="AG33" s="311">
        <f>+Zał.1_WPF_bazowy!AG28</f>
        <v>0</v>
      </c>
      <c r="AH33" s="311">
        <f>+Zał.1_WPF_bazowy!AH28</f>
        <v>0</v>
      </c>
      <c r="AI33" s="311">
        <f>+Zał.1_WPF_bazowy!AI28</f>
        <v>0</v>
      </c>
      <c r="AJ33" s="311">
        <f>+Zał.1_WPF_bazowy!AJ28</f>
        <v>0</v>
      </c>
      <c r="AK33" s="311">
        <f>+Zał.1_WPF_bazowy!AK28</f>
        <v>0</v>
      </c>
      <c r="AL33" s="312">
        <f>+Zał.1_WPF_bazowy!AL28</f>
        <v>0</v>
      </c>
    </row>
    <row r="34" spans="1:253" outlineLevel="2">
      <c r="A34" s="375" t="s">
        <v>31</v>
      </c>
      <c r="B34" s="48" t="s">
        <v>77</v>
      </c>
      <c r="C34" s="257"/>
      <c r="D34" s="356" t="s">
        <v>228</v>
      </c>
      <c r="E34" s="246">
        <f>Zał.1_WPF_bazowy!E29</f>
        <v>0</v>
      </c>
      <c r="F34" s="247">
        <f>Zał.1_WPF_bazowy!F29</f>
        <v>0</v>
      </c>
      <c r="G34" s="247">
        <f>Zał.1_WPF_bazowy!G29</f>
        <v>92653</v>
      </c>
      <c r="H34" s="309">
        <f>Zał.1_WPF_bazowy!H29</f>
        <v>92653</v>
      </c>
      <c r="I34" s="310">
        <f>+Zał.1_WPF_bazowy!I29</f>
        <v>504000</v>
      </c>
      <c r="J34" s="311">
        <f>+Zał.1_WPF_bazowy!J29</f>
        <v>0</v>
      </c>
      <c r="K34" s="311">
        <f>+Zał.1_WPF_bazowy!K29</f>
        <v>0</v>
      </c>
      <c r="L34" s="311">
        <f>+Zał.1_WPF_bazowy!L29</f>
        <v>0</v>
      </c>
      <c r="M34" s="311">
        <f>+Zał.1_WPF_bazowy!M29</f>
        <v>0</v>
      </c>
      <c r="N34" s="311">
        <f>+Zał.1_WPF_bazowy!N29</f>
        <v>0</v>
      </c>
      <c r="O34" s="311">
        <f>+Zał.1_WPF_bazowy!O29</f>
        <v>0</v>
      </c>
      <c r="P34" s="311">
        <f>+Zał.1_WPF_bazowy!P29</f>
        <v>0</v>
      </c>
      <c r="Q34" s="311">
        <f>+Zał.1_WPF_bazowy!Q29</f>
        <v>0</v>
      </c>
      <c r="R34" s="311">
        <f>+Zał.1_WPF_bazowy!R29</f>
        <v>0</v>
      </c>
      <c r="S34" s="311">
        <f>+Zał.1_WPF_bazowy!S29</f>
        <v>0</v>
      </c>
      <c r="T34" s="311">
        <f>+Zał.1_WPF_bazowy!T29</f>
        <v>0</v>
      </c>
      <c r="U34" s="311">
        <f>+Zał.1_WPF_bazowy!U29</f>
        <v>0</v>
      </c>
      <c r="V34" s="311">
        <f>+Zał.1_WPF_bazowy!V29</f>
        <v>0</v>
      </c>
      <c r="W34" s="311">
        <f>+Zał.1_WPF_bazowy!W29</f>
        <v>0</v>
      </c>
      <c r="X34" s="311">
        <f>+Zał.1_WPF_bazowy!X29</f>
        <v>0</v>
      </c>
      <c r="Y34" s="311">
        <f>+Zał.1_WPF_bazowy!Y29</f>
        <v>0</v>
      </c>
      <c r="Z34" s="311">
        <f>+Zał.1_WPF_bazowy!Z29</f>
        <v>0</v>
      </c>
      <c r="AA34" s="311">
        <f>+Zał.1_WPF_bazowy!AA29</f>
        <v>0</v>
      </c>
      <c r="AB34" s="311">
        <f>+Zał.1_WPF_bazowy!AB29</f>
        <v>0</v>
      </c>
      <c r="AC34" s="311">
        <f>+Zał.1_WPF_bazowy!AC29</f>
        <v>0</v>
      </c>
      <c r="AD34" s="311">
        <f>+Zał.1_WPF_bazowy!AD29</f>
        <v>0</v>
      </c>
      <c r="AE34" s="311">
        <f>+Zał.1_WPF_bazowy!AE29</f>
        <v>0</v>
      </c>
      <c r="AF34" s="311">
        <f>+Zał.1_WPF_bazowy!AF29</f>
        <v>0</v>
      </c>
      <c r="AG34" s="311">
        <f>+Zał.1_WPF_bazowy!AG29</f>
        <v>0</v>
      </c>
      <c r="AH34" s="311">
        <f>+Zał.1_WPF_bazowy!AH29</f>
        <v>0</v>
      </c>
      <c r="AI34" s="311">
        <f>+Zał.1_WPF_bazowy!AI29</f>
        <v>0</v>
      </c>
      <c r="AJ34" s="311">
        <f>+Zał.1_WPF_bazowy!AJ29</f>
        <v>0</v>
      </c>
      <c r="AK34" s="311">
        <f>+Zał.1_WPF_bazowy!AK29</f>
        <v>0</v>
      </c>
      <c r="AL34" s="312">
        <f>+Zał.1_WPF_bazowy!AL29</f>
        <v>0</v>
      </c>
    </row>
    <row r="35" spans="1:253" outlineLevel="2">
      <c r="A35" s="375" t="s">
        <v>31</v>
      </c>
      <c r="B35" s="48" t="s">
        <v>170</v>
      </c>
      <c r="C35" s="257"/>
      <c r="D35" s="355" t="s">
        <v>230</v>
      </c>
      <c r="E35" s="246">
        <f>Zał.1_WPF_bazowy!E30</f>
        <v>5530000</v>
      </c>
      <c r="F35" s="247">
        <f>Zał.1_WPF_bazowy!F30</f>
        <v>8395000</v>
      </c>
      <c r="G35" s="247">
        <f>Zał.1_WPF_bazowy!G30</f>
        <v>3500000</v>
      </c>
      <c r="H35" s="309">
        <f>Zał.1_WPF_bazowy!H30</f>
        <v>3200000</v>
      </c>
      <c r="I35" s="310">
        <f>+Zał.1_WPF_bazowy!I30</f>
        <v>1300000</v>
      </c>
      <c r="J35" s="311">
        <f>+Zał.1_WPF_bazowy!J30</f>
        <v>0</v>
      </c>
      <c r="K35" s="311">
        <f>+Zał.1_WPF_bazowy!K30</f>
        <v>0</v>
      </c>
      <c r="L35" s="311">
        <f>+Zał.1_WPF_bazowy!L30</f>
        <v>0</v>
      </c>
      <c r="M35" s="311">
        <f>+Zał.1_WPF_bazowy!M30</f>
        <v>0</v>
      </c>
      <c r="N35" s="311">
        <f>+Zał.1_WPF_bazowy!N30</f>
        <v>0</v>
      </c>
      <c r="O35" s="311">
        <f>+Zał.1_WPF_bazowy!O30</f>
        <v>0</v>
      </c>
      <c r="P35" s="311">
        <f>+Zał.1_WPF_bazowy!P30</f>
        <v>0</v>
      </c>
      <c r="Q35" s="311">
        <f>+Zał.1_WPF_bazowy!Q30</f>
        <v>0</v>
      </c>
      <c r="R35" s="311">
        <f>+Zał.1_WPF_bazowy!R30</f>
        <v>0</v>
      </c>
      <c r="S35" s="311">
        <f>+Zał.1_WPF_bazowy!S30</f>
        <v>0</v>
      </c>
      <c r="T35" s="311">
        <f>+Zał.1_WPF_bazowy!T30</f>
        <v>0</v>
      </c>
      <c r="U35" s="311">
        <f>+Zał.1_WPF_bazowy!U30</f>
        <v>0</v>
      </c>
      <c r="V35" s="311">
        <f>+Zał.1_WPF_bazowy!V30</f>
        <v>0</v>
      </c>
      <c r="W35" s="311">
        <f>+Zał.1_WPF_bazowy!W30</f>
        <v>0</v>
      </c>
      <c r="X35" s="311">
        <f>+Zał.1_WPF_bazowy!X30</f>
        <v>0</v>
      </c>
      <c r="Y35" s="311">
        <f>+Zał.1_WPF_bazowy!Y30</f>
        <v>0</v>
      </c>
      <c r="Z35" s="311">
        <f>+Zał.1_WPF_bazowy!Z30</f>
        <v>0</v>
      </c>
      <c r="AA35" s="311">
        <f>+Zał.1_WPF_bazowy!AA30</f>
        <v>0</v>
      </c>
      <c r="AB35" s="311">
        <f>+Zał.1_WPF_bazowy!AB30</f>
        <v>0</v>
      </c>
      <c r="AC35" s="311">
        <f>+Zał.1_WPF_bazowy!AC30</f>
        <v>0</v>
      </c>
      <c r="AD35" s="311">
        <f>+Zał.1_WPF_bazowy!AD30</f>
        <v>0</v>
      </c>
      <c r="AE35" s="311">
        <f>+Zał.1_WPF_bazowy!AE30</f>
        <v>0</v>
      </c>
      <c r="AF35" s="311">
        <f>+Zał.1_WPF_bazowy!AF30</f>
        <v>0</v>
      </c>
      <c r="AG35" s="311">
        <f>+Zał.1_WPF_bazowy!AG30</f>
        <v>0</v>
      </c>
      <c r="AH35" s="311">
        <f>+Zał.1_WPF_bazowy!AH30</f>
        <v>0</v>
      </c>
      <c r="AI35" s="311">
        <f>+Zał.1_WPF_bazowy!AI30</f>
        <v>0</v>
      </c>
      <c r="AJ35" s="311">
        <f>+Zał.1_WPF_bazowy!AJ30</f>
        <v>0</v>
      </c>
      <c r="AK35" s="311">
        <f>+Zał.1_WPF_bazowy!AK30</f>
        <v>0</v>
      </c>
      <c r="AL35" s="312">
        <f>+Zał.1_WPF_bazowy!AL30</f>
        <v>0</v>
      </c>
    </row>
    <row r="36" spans="1:253" outlineLevel="2">
      <c r="A36" s="375" t="s">
        <v>31</v>
      </c>
      <c r="B36" s="48" t="s">
        <v>80</v>
      </c>
      <c r="C36" s="257"/>
      <c r="D36" s="356" t="s">
        <v>228</v>
      </c>
      <c r="E36" s="246">
        <f>Zał.1_WPF_bazowy!E31</f>
        <v>0</v>
      </c>
      <c r="F36" s="247">
        <f>Zał.1_WPF_bazowy!F31</f>
        <v>0</v>
      </c>
      <c r="G36" s="247">
        <f>Zał.1_WPF_bazowy!G31</f>
        <v>2143366</v>
      </c>
      <c r="H36" s="309">
        <f>Zał.1_WPF_bazowy!H31</f>
        <v>0</v>
      </c>
      <c r="I36" s="310">
        <f>+Zał.1_WPF_bazowy!I31</f>
        <v>743000</v>
      </c>
      <c r="J36" s="311">
        <f>+Zał.1_WPF_bazowy!J31</f>
        <v>0</v>
      </c>
      <c r="K36" s="311">
        <f>+Zał.1_WPF_bazowy!K31</f>
        <v>0</v>
      </c>
      <c r="L36" s="311">
        <f>+Zał.1_WPF_bazowy!L31</f>
        <v>0</v>
      </c>
      <c r="M36" s="311">
        <f>+Zał.1_WPF_bazowy!M31</f>
        <v>0</v>
      </c>
      <c r="N36" s="311">
        <f>+Zał.1_WPF_bazowy!N31</f>
        <v>0</v>
      </c>
      <c r="O36" s="311">
        <f>+Zał.1_WPF_bazowy!O31</f>
        <v>0</v>
      </c>
      <c r="P36" s="311">
        <f>+Zał.1_WPF_bazowy!P31</f>
        <v>0</v>
      </c>
      <c r="Q36" s="311">
        <f>+Zał.1_WPF_bazowy!Q31</f>
        <v>0</v>
      </c>
      <c r="R36" s="311">
        <f>+Zał.1_WPF_bazowy!R31</f>
        <v>0</v>
      </c>
      <c r="S36" s="311">
        <f>+Zał.1_WPF_bazowy!S31</f>
        <v>0</v>
      </c>
      <c r="T36" s="311">
        <f>+Zał.1_WPF_bazowy!T31</f>
        <v>0</v>
      </c>
      <c r="U36" s="311">
        <f>+Zał.1_WPF_bazowy!U31</f>
        <v>0</v>
      </c>
      <c r="V36" s="311">
        <f>+Zał.1_WPF_bazowy!V31</f>
        <v>0</v>
      </c>
      <c r="W36" s="311">
        <f>+Zał.1_WPF_bazowy!W31</f>
        <v>0</v>
      </c>
      <c r="X36" s="311">
        <f>+Zał.1_WPF_bazowy!X31</f>
        <v>0</v>
      </c>
      <c r="Y36" s="311">
        <f>+Zał.1_WPF_bazowy!Y31</f>
        <v>0</v>
      </c>
      <c r="Z36" s="311">
        <f>+Zał.1_WPF_bazowy!Z31</f>
        <v>0</v>
      </c>
      <c r="AA36" s="311">
        <f>+Zał.1_WPF_bazowy!AA31</f>
        <v>0</v>
      </c>
      <c r="AB36" s="311">
        <f>+Zał.1_WPF_bazowy!AB31</f>
        <v>0</v>
      </c>
      <c r="AC36" s="311">
        <f>+Zał.1_WPF_bazowy!AC31</f>
        <v>0</v>
      </c>
      <c r="AD36" s="311">
        <f>+Zał.1_WPF_bazowy!AD31</f>
        <v>0</v>
      </c>
      <c r="AE36" s="311">
        <f>+Zał.1_WPF_bazowy!AE31</f>
        <v>0</v>
      </c>
      <c r="AF36" s="311">
        <f>+Zał.1_WPF_bazowy!AF31</f>
        <v>0</v>
      </c>
      <c r="AG36" s="311">
        <f>+Zał.1_WPF_bazowy!AG31</f>
        <v>0</v>
      </c>
      <c r="AH36" s="311">
        <f>+Zał.1_WPF_bazowy!AH31</f>
        <v>0</v>
      </c>
      <c r="AI36" s="311">
        <f>+Zał.1_WPF_bazowy!AI31</f>
        <v>0</v>
      </c>
      <c r="AJ36" s="311">
        <f>+Zał.1_WPF_bazowy!AJ31</f>
        <v>0</v>
      </c>
      <c r="AK36" s="311">
        <f>+Zał.1_WPF_bazowy!AK31</f>
        <v>0</v>
      </c>
      <c r="AL36" s="312">
        <f>+Zał.1_WPF_bazowy!AL31</f>
        <v>0</v>
      </c>
    </row>
    <row r="37" spans="1:253" outlineLevel="2">
      <c r="A37" s="375" t="s">
        <v>31</v>
      </c>
      <c r="B37" s="48" t="s">
        <v>171</v>
      </c>
      <c r="C37" s="257"/>
      <c r="D37" s="355" t="s">
        <v>231</v>
      </c>
      <c r="E37" s="246">
        <f>Zał.1_WPF_bazowy!E32</f>
        <v>0</v>
      </c>
      <c r="F37" s="247">
        <f>Zał.1_WPF_bazowy!F32</f>
        <v>0</v>
      </c>
      <c r="G37" s="247">
        <f>Zał.1_WPF_bazowy!G32</f>
        <v>0</v>
      </c>
      <c r="H37" s="309">
        <f>Zał.1_WPF_bazowy!H32</f>
        <v>0</v>
      </c>
      <c r="I37" s="310">
        <f>+Zał.1_WPF_bazowy!I32</f>
        <v>0</v>
      </c>
      <c r="J37" s="311">
        <f>+Zał.1_WPF_bazowy!J32</f>
        <v>0</v>
      </c>
      <c r="K37" s="311">
        <f>+Zał.1_WPF_bazowy!K32</f>
        <v>0</v>
      </c>
      <c r="L37" s="311">
        <f>+Zał.1_WPF_bazowy!L32</f>
        <v>0</v>
      </c>
      <c r="M37" s="311">
        <f>+Zał.1_WPF_bazowy!M32</f>
        <v>0</v>
      </c>
      <c r="N37" s="311">
        <f>+Zał.1_WPF_bazowy!N32</f>
        <v>0</v>
      </c>
      <c r="O37" s="311">
        <f>+Zał.1_WPF_bazowy!O32</f>
        <v>0</v>
      </c>
      <c r="P37" s="311">
        <f>+Zał.1_WPF_bazowy!P32</f>
        <v>0</v>
      </c>
      <c r="Q37" s="311">
        <f>+Zał.1_WPF_bazowy!Q32</f>
        <v>0</v>
      </c>
      <c r="R37" s="311">
        <f>+Zał.1_WPF_bazowy!R32</f>
        <v>0</v>
      </c>
      <c r="S37" s="311">
        <f>+Zał.1_WPF_bazowy!S32</f>
        <v>0</v>
      </c>
      <c r="T37" s="311">
        <f>+Zał.1_WPF_bazowy!T32</f>
        <v>0</v>
      </c>
      <c r="U37" s="311">
        <f>+Zał.1_WPF_bazowy!U32</f>
        <v>0</v>
      </c>
      <c r="V37" s="311">
        <f>+Zał.1_WPF_bazowy!V32</f>
        <v>0</v>
      </c>
      <c r="W37" s="311">
        <f>+Zał.1_WPF_bazowy!W32</f>
        <v>0</v>
      </c>
      <c r="X37" s="311">
        <f>+Zał.1_WPF_bazowy!X32</f>
        <v>0</v>
      </c>
      <c r="Y37" s="311">
        <f>+Zał.1_WPF_bazowy!Y32</f>
        <v>0</v>
      </c>
      <c r="Z37" s="311">
        <f>+Zał.1_WPF_bazowy!Z32</f>
        <v>0</v>
      </c>
      <c r="AA37" s="311">
        <f>+Zał.1_WPF_bazowy!AA32</f>
        <v>0</v>
      </c>
      <c r="AB37" s="311">
        <f>+Zał.1_WPF_bazowy!AB32</f>
        <v>0</v>
      </c>
      <c r="AC37" s="311">
        <f>+Zał.1_WPF_bazowy!AC32</f>
        <v>0</v>
      </c>
      <c r="AD37" s="311">
        <f>+Zał.1_WPF_bazowy!AD32</f>
        <v>0</v>
      </c>
      <c r="AE37" s="311">
        <f>+Zał.1_WPF_bazowy!AE32</f>
        <v>0</v>
      </c>
      <c r="AF37" s="311">
        <f>+Zał.1_WPF_bazowy!AF32</f>
        <v>0</v>
      </c>
      <c r="AG37" s="311">
        <f>+Zał.1_WPF_bazowy!AG32</f>
        <v>0</v>
      </c>
      <c r="AH37" s="311">
        <f>+Zał.1_WPF_bazowy!AH32</f>
        <v>0</v>
      </c>
      <c r="AI37" s="311">
        <f>+Zał.1_WPF_bazowy!AI32</f>
        <v>0</v>
      </c>
      <c r="AJ37" s="311">
        <f>+Zał.1_WPF_bazowy!AJ32</f>
        <v>0</v>
      </c>
      <c r="AK37" s="311">
        <f>+Zał.1_WPF_bazowy!AK32</f>
        <v>0</v>
      </c>
      <c r="AL37" s="312">
        <f>+Zał.1_WPF_bazowy!AL32</f>
        <v>0</v>
      </c>
    </row>
    <row r="38" spans="1:253" outlineLevel="2">
      <c r="A38" s="375" t="s">
        <v>31</v>
      </c>
      <c r="B38" s="48" t="s">
        <v>82</v>
      </c>
      <c r="C38" s="257"/>
      <c r="D38" s="356" t="s">
        <v>228</v>
      </c>
      <c r="E38" s="246">
        <f>Zał.1_WPF_bazowy!E33</f>
        <v>0</v>
      </c>
      <c r="F38" s="247">
        <f>Zał.1_WPF_bazowy!F33</f>
        <v>0</v>
      </c>
      <c r="G38" s="247">
        <f>Zał.1_WPF_bazowy!G33</f>
        <v>0</v>
      </c>
      <c r="H38" s="309">
        <f>Zał.1_WPF_bazowy!H33</f>
        <v>0</v>
      </c>
      <c r="I38" s="310">
        <f>+Zał.1_WPF_bazowy!I33</f>
        <v>0</v>
      </c>
      <c r="J38" s="311">
        <f>+Zał.1_WPF_bazowy!J33</f>
        <v>0</v>
      </c>
      <c r="K38" s="311">
        <f>+Zał.1_WPF_bazowy!K33</f>
        <v>0</v>
      </c>
      <c r="L38" s="311">
        <f>+Zał.1_WPF_bazowy!L33</f>
        <v>0</v>
      </c>
      <c r="M38" s="311">
        <f>+Zał.1_WPF_bazowy!M33</f>
        <v>0</v>
      </c>
      <c r="N38" s="311">
        <f>+Zał.1_WPF_bazowy!N33</f>
        <v>0</v>
      </c>
      <c r="O38" s="311">
        <f>+Zał.1_WPF_bazowy!O33</f>
        <v>0</v>
      </c>
      <c r="P38" s="311">
        <f>+Zał.1_WPF_bazowy!P33</f>
        <v>0</v>
      </c>
      <c r="Q38" s="311">
        <f>+Zał.1_WPF_bazowy!Q33</f>
        <v>0</v>
      </c>
      <c r="R38" s="311">
        <f>+Zał.1_WPF_bazowy!R33</f>
        <v>0</v>
      </c>
      <c r="S38" s="311">
        <f>+Zał.1_WPF_bazowy!S33</f>
        <v>0</v>
      </c>
      <c r="T38" s="311">
        <f>+Zał.1_WPF_bazowy!T33</f>
        <v>0</v>
      </c>
      <c r="U38" s="311">
        <f>+Zał.1_WPF_bazowy!U33</f>
        <v>0</v>
      </c>
      <c r="V38" s="311">
        <f>+Zał.1_WPF_bazowy!V33</f>
        <v>0</v>
      </c>
      <c r="W38" s="311">
        <f>+Zał.1_WPF_bazowy!W33</f>
        <v>0</v>
      </c>
      <c r="X38" s="311">
        <f>+Zał.1_WPF_bazowy!X33</f>
        <v>0</v>
      </c>
      <c r="Y38" s="311">
        <f>+Zał.1_WPF_bazowy!Y33</f>
        <v>0</v>
      </c>
      <c r="Z38" s="311">
        <f>+Zał.1_WPF_bazowy!Z33</f>
        <v>0</v>
      </c>
      <c r="AA38" s="311">
        <f>+Zał.1_WPF_bazowy!AA33</f>
        <v>0</v>
      </c>
      <c r="AB38" s="311">
        <f>+Zał.1_WPF_bazowy!AB33</f>
        <v>0</v>
      </c>
      <c r="AC38" s="311">
        <f>+Zał.1_WPF_bazowy!AC33</f>
        <v>0</v>
      </c>
      <c r="AD38" s="311">
        <f>+Zał.1_WPF_bazowy!AD33</f>
        <v>0</v>
      </c>
      <c r="AE38" s="311">
        <f>+Zał.1_WPF_bazowy!AE33</f>
        <v>0</v>
      </c>
      <c r="AF38" s="311">
        <f>+Zał.1_WPF_bazowy!AF33</f>
        <v>0</v>
      </c>
      <c r="AG38" s="311">
        <f>+Zał.1_WPF_bazowy!AG33</f>
        <v>0</v>
      </c>
      <c r="AH38" s="311">
        <f>+Zał.1_WPF_bazowy!AH33</f>
        <v>0</v>
      </c>
      <c r="AI38" s="311">
        <f>+Zał.1_WPF_bazowy!AI33</f>
        <v>0</v>
      </c>
      <c r="AJ38" s="311">
        <f>+Zał.1_WPF_bazowy!AJ33</f>
        <v>0</v>
      </c>
      <c r="AK38" s="311">
        <f>+Zał.1_WPF_bazowy!AK33</f>
        <v>0</v>
      </c>
      <c r="AL38" s="312">
        <f>+Zał.1_WPF_bazowy!AL33</f>
        <v>0</v>
      </c>
    </row>
    <row r="39" spans="1:253" s="149" customFormat="1" ht="15.75" outlineLevel="1" thickBot="1">
      <c r="A39" s="375" t="s">
        <v>31</v>
      </c>
      <c r="B39" s="47">
        <v>5</v>
      </c>
      <c r="C39" s="256" t="s">
        <v>421</v>
      </c>
      <c r="D39" s="353" t="s">
        <v>83</v>
      </c>
      <c r="E39" s="244">
        <f>Zał.1_WPF_bazowy!E34</f>
        <v>265120.73</v>
      </c>
      <c r="F39" s="245">
        <f>Zał.1_WPF_bazowy!F34</f>
        <v>2901028.68</v>
      </c>
      <c r="G39" s="245">
        <f>Zał.1_WPF_bazowy!G34</f>
        <v>3450772</v>
      </c>
      <c r="H39" s="122">
        <f>+H40+H43</f>
        <v>3420740.93</v>
      </c>
      <c r="I39" s="120">
        <f>+I40+I43</f>
        <v>2105000</v>
      </c>
      <c r="J39" s="121">
        <f t="shared" ref="J39:AL39" si="4">+J40+J43</f>
        <v>1057000</v>
      </c>
      <c r="K39" s="121">
        <f t="shared" si="4"/>
        <v>100000</v>
      </c>
      <c r="L39" s="121">
        <f t="shared" si="4"/>
        <v>400000</v>
      </c>
      <c r="M39" s="121">
        <f t="shared" si="4"/>
        <v>600000</v>
      </c>
      <c r="N39" s="121">
        <f t="shared" si="4"/>
        <v>600000</v>
      </c>
      <c r="O39" s="121">
        <f t="shared" si="4"/>
        <v>1200000</v>
      </c>
      <c r="P39" s="121">
        <f t="shared" si="4"/>
        <v>1300000</v>
      </c>
      <c r="Q39" s="121">
        <f t="shared" si="4"/>
        <v>1200000</v>
      </c>
      <c r="R39" s="121">
        <f t="shared" si="4"/>
        <v>1330000</v>
      </c>
      <c r="S39" s="121">
        <f t="shared" si="4"/>
        <v>1510000</v>
      </c>
      <c r="T39" s="121">
        <f t="shared" si="4"/>
        <v>1548000</v>
      </c>
      <c r="U39" s="121">
        <f t="shared" si="4"/>
        <v>743000</v>
      </c>
      <c r="V39" s="121">
        <f t="shared" si="4"/>
        <v>0</v>
      </c>
      <c r="W39" s="121">
        <f t="shared" si="4"/>
        <v>0</v>
      </c>
      <c r="X39" s="121">
        <f t="shared" si="4"/>
        <v>0</v>
      </c>
      <c r="Y39" s="121">
        <f t="shared" si="4"/>
        <v>0</v>
      </c>
      <c r="Z39" s="121">
        <f t="shared" si="4"/>
        <v>0</v>
      </c>
      <c r="AA39" s="121">
        <f t="shared" si="4"/>
        <v>0</v>
      </c>
      <c r="AB39" s="121">
        <f t="shared" si="4"/>
        <v>0</v>
      </c>
      <c r="AC39" s="121">
        <f t="shared" si="4"/>
        <v>0</v>
      </c>
      <c r="AD39" s="121">
        <f t="shared" si="4"/>
        <v>0</v>
      </c>
      <c r="AE39" s="121">
        <f t="shared" si="4"/>
        <v>0</v>
      </c>
      <c r="AF39" s="121">
        <f t="shared" si="4"/>
        <v>0</v>
      </c>
      <c r="AG39" s="121">
        <f t="shared" si="4"/>
        <v>0</v>
      </c>
      <c r="AH39" s="121">
        <f t="shared" si="4"/>
        <v>0</v>
      </c>
      <c r="AI39" s="121">
        <f t="shared" si="4"/>
        <v>0</v>
      </c>
      <c r="AJ39" s="121">
        <f t="shared" si="4"/>
        <v>0</v>
      </c>
      <c r="AK39" s="121">
        <f t="shared" si="4"/>
        <v>0</v>
      </c>
      <c r="AL39" s="122">
        <f t="shared" si="4"/>
        <v>0</v>
      </c>
    </row>
    <row r="40" spans="1:253" s="152" customFormat="1" outlineLevel="2">
      <c r="A40" s="375" t="s">
        <v>31</v>
      </c>
      <c r="B40" s="48" t="s">
        <v>172</v>
      </c>
      <c r="C40" s="257"/>
      <c r="D40" s="355" t="s">
        <v>232</v>
      </c>
      <c r="E40" s="246">
        <f>Zał.1_WPF_bazowy!E35</f>
        <v>265120.73</v>
      </c>
      <c r="F40" s="247">
        <f>Zał.1_WPF_bazowy!F35</f>
        <v>2901028.68</v>
      </c>
      <c r="G40" s="247">
        <f>Zał.1_WPF_bazowy!G35</f>
        <v>3450772</v>
      </c>
      <c r="H40" s="309">
        <f>Zał.1_WPF_bazowy!H35</f>
        <v>3420740.93</v>
      </c>
      <c r="I40" s="310">
        <f>+Zał.1_WPF_bazowy!I35</f>
        <v>2105000</v>
      </c>
      <c r="J40" s="311">
        <f>+Zał.1_WPF_bazowy!J35</f>
        <v>1057000</v>
      </c>
      <c r="K40" s="311">
        <f>+Zał.1_WPF_bazowy!K35</f>
        <v>100000</v>
      </c>
      <c r="L40" s="311">
        <f>+Zał.1_WPF_bazowy!L35</f>
        <v>400000</v>
      </c>
      <c r="M40" s="311">
        <f>+Zał.1_WPF_bazowy!M35</f>
        <v>600000</v>
      </c>
      <c r="N40" s="311">
        <f>+Zał.1_WPF_bazowy!N35</f>
        <v>600000</v>
      </c>
      <c r="O40" s="311">
        <f>+Zał.1_WPF_bazowy!O35</f>
        <v>1200000</v>
      </c>
      <c r="P40" s="311">
        <f>+Zał.1_WPF_bazowy!P35</f>
        <v>1300000</v>
      </c>
      <c r="Q40" s="311">
        <f>+Zał.1_WPF_bazowy!Q35</f>
        <v>1200000</v>
      </c>
      <c r="R40" s="311">
        <f>+Zał.1_WPF_bazowy!R35</f>
        <v>1330000</v>
      </c>
      <c r="S40" s="311">
        <f>+Zał.1_WPF_bazowy!S35</f>
        <v>1510000</v>
      </c>
      <c r="T40" s="311">
        <f>+Zał.1_WPF_bazowy!T35</f>
        <v>1548000</v>
      </c>
      <c r="U40" s="311">
        <f>+Zał.1_WPF_bazowy!U35</f>
        <v>743000</v>
      </c>
      <c r="V40" s="311">
        <f>+Zał.1_WPF_bazowy!V35</f>
        <v>0</v>
      </c>
      <c r="W40" s="311">
        <f>+Zał.1_WPF_bazowy!W35</f>
        <v>0</v>
      </c>
      <c r="X40" s="311">
        <f>+Zał.1_WPF_bazowy!X35</f>
        <v>0</v>
      </c>
      <c r="Y40" s="311">
        <f>+Zał.1_WPF_bazowy!Y35</f>
        <v>0</v>
      </c>
      <c r="Z40" s="311">
        <f>+Zał.1_WPF_bazowy!Z35</f>
        <v>0</v>
      </c>
      <c r="AA40" s="311">
        <f>+Zał.1_WPF_bazowy!AA35</f>
        <v>0</v>
      </c>
      <c r="AB40" s="311">
        <f>+Zał.1_WPF_bazowy!AB35</f>
        <v>0</v>
      </c>
      <c r="AC40" s="311">
        <f>+Zał.1_WPF_bazowy!AC35</f>
        <v>0</v>
      </c>
      <c r="AD40" s="311">
        <f>+Zał.1_WPF_bazowy!AD35</f>
        <v>0</v>
      </c>
      <c r="AE40" s="311">
        <f>+Zał.1_WPF_bazowy!AE35</f>
        <v>0</v>
      </c>
      <c r="AF40" s="311">
        <f>+Zał.1_WPF_bazowy!AF35</f>
        <v>0</v>
      </c>
      <c r="AG40" s="311">
        <f>+Zał.1_WPF_bazowy!AG35</f>
        <v>0</v>
      </c>
      <c r="AH40" s="311">
        <f>+Zał.1_WPF_bazowy!AH35</f>
        <v>0</v>
      </c>
      <c r="AI40" s="311">
        <f>+Zał.1_WPF_bazowy!AI35</f>
        <v>0</v>
      </c>
      <c r="AJ40" s="311">
        <f>+Zał.1_WPF_bazowy!AJ35</f>
        <v>0</v>
      </c>
      <c r="AK40" s="311">
        <f>+Zał.1_WPF_bazowy!AK35</f>
        <v>0</v>
      </c>
      <c r="AL40" s="312">
        <f>+Zał.1_WPF_bazowy!AL35</f>
        <v>0</v>
      </c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</row>
    <row r="41" spans="1:253" s="139" customFormat="1" ht="60" outlineLevel="2">
      <c r="A41" s="375" t="s">
        <v>31</v>
      </c>
      <c r="B41" s="48" t="s">
        <v>85</v>
      </c>
      <c r="C41" s="257"/>
      <c r="D41" s="356" t="s">
        <v>452</v>
      </c>
      <c r="E41" s="246">
        <f>Zał.1_WPF_bazowy!E36</f>
        <v>0</v>
      </c>
      <c r="F41" s="247">
        <f>Zał.1_WPF_bazowy!F36</f>
        <v>0</v>
      </c>
      <c r="G41" s="247">
        <f>Zał.1_WPF_bazowy!G36</f>
        <v>0</v>
      </c>
      <c r="H41" s="309">
        <f>Zał.1_WPF_bazowy!H36</f>
        <v>2698000</v>
      </c>
      <c r="I41" s="310">
        <f>+Zał.1_WPF_bazowy!I36</f>
        <v>460716</v>
      </c>
      <c r="J41" s="311">
        <f>+Zał.1_WPF_bazowy!J36</f>
        <v>1057000</v>
      </c>
      <c r="K41" s="311">
        <f>+Zał.1_WPF_bazowy!K36</f>
        <v>0</v>
      </c>
      <c r="L41" s="311">
        <f>+Zał.1_WPF_bazowy!L36</f>
        <v>0</v>
      </c>
      <c r="M41" s="311">
        <f>+Zał.1_WPF_bazowy!M36</f>
        <v>0</v>
      </c>
      <c r="N41" s="311">
        <f>+Zał.1_WPF_bazowy!N36</f>
        <v>0</v>
      </c>
      <c r="O41" s="311">
        <f>+Zał.1_WPF_bazowy!O36</f>
        <v>0</v>
      </c>
      <c r="P41" s="311">
        <f>+Zał.1_WPF_bazowy!P36</f>
        <v>0</v>
      </c>
      <c r="Q41" s="311">
        <f>+Zał.1_WPF_bazowy!Q36</f>
        <v>0</v>
      </c>
      <c r="R41" s="311">
        <f>+Zał.1_WPF_bazowy!R36</f>
        <v>0</v>
      </c>
      <c r="S41" s="311">
        <f>+Zał.1_WPF_bazowy!S36</f>
        <v>0</v>
      </c>
      <c r="T41" s="311">
        <f>+Zał.1_WPF_bazowy!T36</f>
        <v>0</v>
      </c>
      <c r="U41" s="311">
        <f>+Zał.1_WPF_bazowy!U36</f>
        <v>0</v>
      </c>
      <c r="V41" s="311">
        <f>+Zał.1_WPF_bazowy!V36</f>
        <v>0</v>
      </c>
      <c r="W41" s="311">
        <f>+Zał.1_WPF_bazowy!W36</f>
        <v>0</v>
      </c>
      <c r="X41" s="311">
        <f>+Zał.1_WPF_bazowy!X36</f>
        <v>0</v>
      </c>
      <c r="Y41" s="311">
        <f>+Zał.1_WPF_bazowy!Y36</f>
        <v>0</v>
      </c>
      <c r="Z41" s="311">
        <f>+Zał.1_WPF_bazowy!Z36</f>
        <v>0</v>
      </c>
      <c r="AA41" s="311">
        <f>+Zał.1_WPF_bazowy!AA36</f>
        <v>0</v>
      </c>
      <c r="AB41" s="311">
        <f>+Zał.1_WPF_bazowy!AB36</f>
        <v>0</v>
      </c>
      <c r="AC41" s="311">
        <f>+Zał.1_WPF_bazowy!AC36</f>
        <v>0</v>
      </c>
      <c r="AD41" s="311">
        <f>+Zał.1_WPF_bazowy!AD36</f>
        <v>0</v>
      </c>
      <c r="AE41" s="311">
        <f>+Zał.1_WPF_bazowy!AE36</f>
        <v>0</v>
      </c>
      <c r="AF41" s="311">
        <f>+Zał.1_WPF_bazowy!AF36</f>
        <v>0</v>
      </c>
      <c r="AG41" s="311">
        <f>+Zał.1_WPF_bazowy!AG36</f>
        <v>0</v>
      </c>
      <c r="AH41" s="311">
        <f>+Zał.1_WPF_bazowy!AH36</f>
        <v>0</v>
      </c>
      <c r="AI41" s="311">
        <f>+Zał.1_WPF_bazowy!AI36</f>
        <v>0</v>
      </c>
      <c r="AJ41" s="311">
        <f>+Zał.1_WPF_bazowy!AJ36</f>
        <v>0</v>
      </c>
      <c r="AK41" s="311">
        <f>+Zał.1_WPF_bazowy!AK36</f>
        <v>0</v>
      </c>
      <c r="AL41" s="312">
        <f>+Zał.1_WPF_bazowy!AL36</f>
        <v>0</v>
      </c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</row>
    <row r="42" spans="1:253" ht="24" outlineLevel="2">
      <c r="A42" s="375" t="s">
        <v>31</v>
      </c>
      <c r="B42" s="48" t="s">
        <v>87</v>
      </c>
      <c r="C42" s="257"/>
      <c r="D42" s="357" t="s">
        <v>233</v>
      </c>
      <c r="E42" s="246">
        <f>Zał.1_WPF_bazowy!E37</f>
        <v>0</v>
      </c>
      <c r="F42" s="247">
        <f>Zał.1_WPF_bazowy!F37</f>
        <v>2179658</v>
      </c>
      <c r="G42" s="247">
        <f>Zał.1_WPF_bazowy!G37</f>
        <v>2698000</v>
      </c>
      <c r="H42" s="309">
        <f>Zał.1_WPF_bazowy!H37</f>
        <v>2698000</v>
      </c>
      <c r="I42" s="310">
        <f>+Zał.1_WPF_bazowy!I37</f>
        <v>460716</v>
      </c>
      <c r="J42" s="311">
        <f>+Zał.1_WPF_bazowy!J37</f>
        <v>1057000</v>
      </c>
      <c r="K42" s="311">
        <f>+Zał.1_WPF_bazowy!K37</f>
        <v>0</v>
      </c>
      <c r="L42" s="311">
        <f>+Zał.1_WPF_bazowy!L37</f>
        <v>0</v>
      </c>
      <c r="M42" s="311">
        <f>+Zał.1_WPF_bazowy!M37</f>
        <v>0</v>
      </c>
      <c r="N42" s="311">
        <f>+Zał.1_WPF_bazowy!N37</f>
        <v>0</v>
      </c>
      <c r="O42" s="311">
        <f>+Zał.1_WPF_bazowy!O37</f>
        <v>0</v>
      </c>
      <c r="P42" s="311">
        <f>+Zał.1_WPF_bazowy!P37</f>
        <v>0</v>
      </c>
      <c r="Q42" s="311">
        <f>+Zał.1_WPF_bazowy!Q37</f>
        <v>0</v>
      </c>
      <c r="R42" s="311">
        <f>+Zał.1_WPF_bazowy!R37</f>
        <v>0</v>
      </c>
      <c r="S42" s="311">
        <f>+Zał.1_WPF_bazowy!S37</f>
        <v>0</v>
      </c>
      <c r="T42" s="311">
        <f>+Zał.1_WPF_bazowy!T37</f>
        <v>0</v>
      </c>
      <c r="U42" s="311">
        <f>+Zał.1_WPF_bazowy!U37</f>
        <v>0</v>
      </c>
      <c r="V42" s="311">
        <f>+Zał.1_WPF_bazowy!V37</f>
        <v>0</v>
      </c>
      <c r="W42" s="311">
        <f>+Zał.1_WPF_bazowy!W37</f>
        <v>0</v>
      </c>
      <c r="X42" s="311">
        <f>+Zał.1_WPF_bazowy!X37</f>
        <v>0</v>
      </c>
      <c r="Y42" s="311">
        <f>+Zał.1_WPF_bazowy!Y37</f>
        <v>0</v>
      </c>
      <c r="Z42" s="311">
        <f>+Zał.1_WPF_bazowy!Z37</f>
        <v>0</v>
      </c>
      <c r="AA42" s="311">
        <f>+Zał.1_WPF_bazowy!AA37</f>
        <v>0</v>
      </c>
      <c r="AB42" s="311">
        <f>+Zał.1_WPF_bazowy!AB37</f>
        <v>0</v>
      </c>
      <c r="AC42" s="311">
        <f>+Zał.1_WPF_bazowy!AC37</f>
        <v>0</v>
      </c>
      <c r="AD42" s="311">
        <f>+Zał.1_WPF_bazowy!AD37</f>
        <v>0</v>
      </c>
      <c r="AE42" s="311">
        <f>+Zał.1_WPF_bazowy!AE37</f>
        <v>0</v>
      </c>
      <c r="AF42" s="311">
        <f>+Zał.1_WPF_bazowy!AF37</f>
        <v>0</v>
      </c>
      <c r="AG42" s="311">
        <f>+Zał.1_WPF_bazowy!AG37</f>
        <v>0</v>
      </c>
      <c r="AH42" s="311">
        <f>+Zał.1_WPF_bazowy!AH37</f>
        <v>0</v>
      </c>
      <c r="AI42" s="311">
        <f>+Zał.1_WPF_bazowy!AI37</f>
        <v>0</v>
      </c>
      <c r="AJ42" s="311">
        <f>+Zał.1_WPF_bazowy!AJ37</f>
        <v>0</v>
      </c>
      <c r="AK42" s="311">
        <f>+Zał.1_WPF_bazowy!AK37</f>
        <v>0</v>
      </c>
      <c r="AL42" s="312">
        <f>+Zał.1_WPF_bazowy!AL37</f>
        <v>0</v>
      </c>
    </row>
    <row r="43" spans="1:253" outlineLevel="2">
      <c r="A43" s="375"/>
      <c r="B43" s="48" t="s">
        <v>173</v>
      </c>
      <c r="C43" s="257"/>
      <c r="D43" s="355" t="s">
        <v>234</v>
      </c>
      <c r="E43" s="246">
        <f>Zał.1_WPF_bazowy!E38</f>
        <v>0</v>
      </c>
      <c r="F43" s="247">
        <f>Zał.1_WPF_bazowy!F38</f>
        <v>0</v>
      </c>
      <c r="G43" s="247">
        <f>Zał.1_WPF_bazowy!G38</f>
        <v>0</v>
      </c>
      <c r="H43" s="309">
        <f>Zał.1_WPF_bazowy!H38</f>
        <v>0</v>
      </c>
      <c r="I43" s="310">
        <f>+Zał.1_WPF_bazowy!I38</f>
        <v>0</v>
      </c>
      <c r="J43" s="311">
        <f>+Zał.1_WPF_bazowy!J38</f>
        <v>0</v>
      </c>
      <c r="K43" s="311">
        <f>+Zał.1_WPF_bazowy!K38</f>
        <v>0</v>
      </c>
      <c r="L43" s="311">
        <f>+Zał.1_WPF_bazowy!L38</f>
        <v>0</v>
      </c>
      <c r="M43" s="311">
        <f>+Zał.1_WPF_bazowy!M38</f>
        <v>0</v>
      </c>
      <c r="N43" s="311">
        <f>+Zał.1_WPF_bazowy!N38</f>
        <v>0</v>
      </c>
      <c r="O43" s="311">
        <f>+Zał.1_WPF_bazowy!O38</f>
        <v>0</v>
      </c>
      <c r="P43" s="311">
        <f>+Zał.1_WPF_bazowy!P38</f>
        <v>0</v>
      </c>
      <c r="Q43" s="311">
        <f>+Zał.1_WPF_bazowy!Q38</f>
        <v>0</v>
      </c>
      <c r="R43" s="311">
        <f>+Zał.1_WPF_bazowy!R38</f>
        <v>0</v>
      </c>
      <c r="S43" s="311">
        <f>+Zał.1_WPF_bazowy!S38</f>
        <v>0</v>
      </c>
      <c r="T43" s="311">
        <f>+Zał.1_WPF_bazowy!T38</f>
        <v>0</v>
      </c>
      <c r="U43" s="311">
        <f>+Zał.1_WPF_bazowy!U38</f>
        <v>0</v>
      </c>
      <c r="V43" s="311">
        <f>+Zał.1_WPF_bazowy!V38</f>
        <v>0</v>
      </c>
      <c r="W43" s="311">
        <f>+Zał.1_WPF_bazowy!W38</f>
        <v>0</v>
      </c>
      <c r="X43" s="311">
        <f>+Zał.1_WPF_bazowy!X38</f>
        <v>0</v>
      </c>
      <c r="Y43" s="311">
        <f>+Zał.1_WPF_bazowy!Y38</f>
        <v>0</v>
      </c>
      <c r="Z43" s="311">
        <f>+Zał.1_WPF_bazowy!Z38</f>
        <v>0</v>
      </c>
      <c r="AA43" s="311">
        <f>+Zał.1_WPF_bazowy!AA38</f>
        <v>0</v>
      </c>
      <c r="AB43" s="311">
        <f>+Zał.1_WPF_bazowy!AB38</f>
        <v>0</v>
      </c>
      <c r="AC43" s="311">
        <f>+Zał.1_WPF_bazowy!AC38</f>
        <v>0</v>
      </c>
      <c r="AD43" s="311">
        <f>+Zał.1_WPF_bazowy!AD38</f>
        <v>0</v>
      </c>
      <c r="AE43" s="311">
        <f>+Zał.1_WPF_bazowy!AE38</f>
        <v>0</v>
      </c>
      <c r="AF43" s="311">
        <f>+Zał.1_WPF_bazowy!AF38</f>
        <v>0</v>
      </c>
      <c r="AG43" s="311">
        <f>+Zał.1_WPF_bazowy!AG38</f>
        <v>0</v>
      </c>
      <c r="AH43" s="311">
        <f>+Zał.1_WPF_bazowy!AH38</f>
        <v>0</v>
      </c>
      <c r="AI43" s="311">
        <f>+Zał.1_WPF_bazowy!AI38</f>
        <v>0</v>
      </c>
      <c r="AJ43" s="311">
        <f>+Zał.1_WPF_bazowy!AJ38</f>
        <v>0</v>
      </c>
      <c r="AK43" s="311">
        <f>+Zał.1_WPF_bazowy!AK38</f>
        <v>0</v>
      </c>
      <c r="AL43" s="312">
        <f>+Zał.1_WPF_bazowy!AL38</f>
        <v>0</v>
      </c>
    </row>
    <row r="44" spans="1:253" s="149" customFormat="1" ht="15" outlineLevel="1">
      <c r="A44" s="375" t="s">
        <v>31</v>
      </c>
      <c r="B44" s="47">
        <v>6</v>
      </c>
      <c r="C44" s="256"/>
      <c r="D44" s="353" t="s">
        <v>27</v>
      </c>
      <c r="E44" s="244">
        <f>Zał.1_WPF_bazowy!E39</f>
        <v>7081097.4699999997</v>
      </c>
      <c r="F44" s="245">
        <f>Zał.1_WPF_bazowy!F39</f>
        <v>12619063.17</v>
      </c>
      <c r="G44" s="245">
        <f>Zał.1_WPF_bazowy!G39</f>
        <v>12697841</v>
      </c>
      <c r="H44" s="314">
        <f>Zał.1_WPF_bazowy!H39</f>
        <v>12435799.449999999</v>
      </c>
      <c r="I44" s="315">
        <f>+IF(I10&lt;&gt;0,H44+I35-I40+(I99-H99)+I104,0)</f>
        <v>11607700</v>
      </c>
      <c r="J44" s="316">
        <f t="shared" ref="J44:AL44" si="5">+IF(J10&lt;&gt;0,I44+J35-J40+(J99-I99)+J104,0)</f>
        <v>10540850</v>
      </c>
      <c r="K44" s="316">
        <f t="shared" si="5"/>
        <v>10431000</v>
      </c>
      <c r="L44" s="316">
        <f t="shared" si="5"/>
        <v>10031000</v>
      </c>
      <c r="M44" s="316">
        <f t="shared" si="5"/>
        <v>9431000</v>
      </c>
      <c r="N44" s="316">
        <f t="shared" si="5"/>
        <v>8831000</v>
      </c>
      <c r="O44" s="316">
        <f t="shared" si="5"/>
        <v>7631000</v>
      </c>
      <c r="P44" s="316">
        <f t="shared" si="5"/>
        <v>6331000</v>
      </c>
      <c r="Q44" s="316">
        <f t="shared" si="5"/>
        <v>5131000</v>
      </c>
      <c r="R44" s="316">
        <f t="shared" si="5"/>
        <v>3801000</v>
      </c>
      <c r="S44" s="316">
        <f t="shared" si="5"/>
        <v>2291000</v>
      </c>
      <c r="T44" s="316">
        <f t="shared" si="5"/>
        <v>743000</v>
      </c>
      <c r="U44" s="316">
        <f t="shared" si="5"/>
        <v>0</v>
      </c>
      <c r="V44" s="316">
        <f t="shared" si="5"/>
        <v>0</v>
      </c>
      <c r="W44" s="316">
        <f t="shared" si="5"/>
        <v>0</v>
      </c>
      <c r="X44" s="316">
        <f t="shared" si="5"/>
        <v>0</v>
      </c>
      <c r="Y44" s="316">
        <f t="shared" si="5"/>
        <v>0</v>
      </c>
      <c r="Z44" s="316">
        <f t="shared" si="5"/>
        <v>0</v>
      </c>
      <c r="AA44" s="316">
        <f t="shared" si="5"/>
        <v>0</v>
      </c>
      <c r="AB44" s="316">
        <f t="shared" si="5"/>
        <v>0</v>
      </c>
      <c r="AC44" s="316">
        <f t="shared" si="5"/>
        <v>0</v>
      </c>
      <c r="AD44" s="316">
        <f t="shared" si="5"/>
        <v>0</v>
      </c>
      <c r="AE44" s="316">
        <f t="shared" si="5"/>
        <v>0</v>
      </c>
      <c r="AF44" s="316">
        <f t="shared" si="5"/>
        <v>0</v>
      </c>
      <c r="AG44" s="316">
        <f t="shared" si="5"/>
        <v>0</v>
      </c>
      <c r="AH44" s="316">
        <f t="shared" si="5"/>
        <v>0</v>
      </c>
      <c r="AI44" s="316">
        <f t="shared" si="5"/>
        <v>0</v>
      </c>
      <c r="AJ44" s="316">
        <f t="shared" si="5"/>
        <v>0</v>
      </c>
      <c r="AK44" s="316">
        <f t="shared" si="5"/>
        <v>0</v>
      </c>
      <c r="AL44" s="317">
        <f t="shared" si="5"/>
        <v>0</v>
      </c>
    </row>
    <row r="45" spans="1:253" ht="24" outlineLevel="2">
      <c r="A45" s="375"/>
      <c r="B45" s="48" t="s">
        <v>174</v>
      </c>
      <c r="C45" s="257"/>
      <c r="D45" s="355" t="s">
        <v>453</v>
      </c>
      <c r="E45" s="246">
        <f>Zał.1_WPF_bazowy!E40</f>
        <v>0</v>
      </c>
      <c r="F45" s="247">
        <f>Zał.1_WPF_bazowy!F40</f>
        <v>6480664</v>
      </c>
      <c r="G45" s="247">
        <f>Zał.1_WPF_bazowy!G40</f>
        <v>3862354.56</v>
      </c>
      <c r="H45" s="309">
        <f>Zał.1_WPF_bazowy!H40</f>
        <v>3110928.58</v>
      </c>
      <c r="I45" s="310">
        <f>+Zał.1_WPF_bazowy!I40</f>
        <v>2599177.14</v>
      </c>
      <c r="J45" s="311">
        <f>+Zał.1_WPF_bazowy!J40</f>
        <v>0</v>
      </c>
      <c r="K45" s="311">
        <f>+Zał.1_WPF_bazowy!K40</f>
        <v>0</v>
      </c>
      <c r="L45" s="311">
        <f>+Zał.1_WPF_bazowy!L40</f>
        <v>0</v>
      </c>
      <c r="M45" s="311">
        <f>+Zał.1_WPF_bazowy!M40</f>
        <v>0</v>
      </c>
      <c r="N45" s="311">
        <f>+Zał.1_WPF_bazowy!N40</f>
        <v>0</v>
      </c>
      <c r="O45" s="311">
        <f>+Zał.1_WPF_bazowy!O40</f>
        <v>0</v>
      </c>
      <c r="P45" s="311">
        <f>+Zał.1_WPF_bazowy!P40</f>
        <v>0</v>
      </c>
      <c r="Q45" s="311">
        <f>+Zał.1_WPF_bazowy!Q40</f>
        <v>0</v>
      </c>
      <c r="R45" s="311">
        <f>+Zał.1_WPF_bazowy!R40</f>
        <v>0</v>
      </c>
      <c r="S45" s="311">
        <f>+Zał.1_WPF_bazowy!S40</f>
        <v>0</v>
      </c>
      <c r="T45" s="311">
        <f>+Zał.1_WPF_bazowy!T40</f>
        <v>0</v>
      </c>
      <c r="U45" s="311">
        <f>+Zał.1_WPF_bazowy!U40</f>
        <v>0</v>
      </c>
      <c r="V45" s="311">
        <f>+Zał.1_WPF_bazowy!V40</f>
        <v>0</v>
      </c>
      <c r="W45" s="311">
        <f>+Zał.1_WPF_bazowy!W40</f>
        <v>0</v>
      </c>
      <c r="X45" s="311">
        <f>+Zał.1_WPF_bazowy!X40</f>
        <v>0</v>
      </c>
      <c r="Y45" s="311">
        <f>+Zał.1_WPF_bazowy!Y40</f>
        <v>0</v>
      </c>
      <c r="Z45" s="311">
        <f>+Zał.1_WPF_bazowy!Z40</f>
        <v>0</v>
      </c>
      <c r="AA45" s="311">
        <f>+Zał.1_WPF_bazowy!AA40</f>
        <v>0</v>
      </c>
      <c r="AB45" s="311">
        <f>+Zał.1_WPF_bazowy!AB40</f>
        <v>0</v>
      </c>
      <c r="AC45" s="311">
        <f>+Zał.1_WPF_bazowy!AC40</f>
        <v>0</v>
      </c>
      <c r="AD45" s="311">
        <f>+Zał.1_WPF_bazowy!AD40</f>
        <v>0</v>
      </c>
      <c r="AE45" s="311">
        <f>+Zał.1_WPF_bazowy!AE40</f>
        <v>0</v>
      </c>
      <c r="AF45" s="311">
        <f>+Zał.1_WPF_bazowy!AF40</f>
        <v>0</v>
      </c>
      <c r="AG45" s="311">
        <f>+Zał.1_WPF_bazowy!AG40</f>
        <v>0</v>
      </c>
      <c r="AH45" s="311">
        <f>+Zał.1_WPF_bazowy!AH40</f>
        <v>0</v>
      </c>
      <c r="AI45" s="311">
        <f>+Zał.1_WPF_bazowy!AI40</f>
        <v>0</v>
      </c>
      <c r="AJ45" s="311">
        <f>+Zał.1_WPF_bazowy!AJ40</f>
        <v>0</v>
      </c>
      <c r="AK45" s="311">
        <f>+Zał.1_WPF_bazowy!AK40</f>
        <v>0</v>
      </c>
      <c r="AL45" s="312">
        <f>+Zał.1_WPF_bazowy!AL40</f>
        <v>0</v>
      </c>
    </row>
    <row r="46" spans="1:253" outlineLevel="2">
      <c r="A46" s="375"/>
      <c r="B46" s="48" t="s">
        <v>91</v>
      </c>
      <c r="C46" s="257"/>
      <c r="D46" s="356" t="s">
        <v>432</v>
      </c>
      <c r="E46" s="246">
        <f>Zał.1_WPF_bazowy!E41</f>
        <v>0</v>
      </c>
      <c r="F46" s="247">
        <f>Zał.1_WPF_bazowy!F41</f>
        <v>6480664</v>
      </c>
      <c r="G46" s="247">
        <f>Zał.1_WPF_bazowy!G41</f>
        <v>3862354.56</v>
      </c>
      <c r="H46" s="309">
        <f>Zał.1_WPF_bazowy!H41</f>
        <v>3110928.58</v>
      </c>
      <c r="I46" s="310">
        <f>+Zał.1_WPF_bazowy!I41</f>
        <v>2599177.14</v>
      </c>
      <c r="J46" s="311">
        <f>+Zał.1_WPF_bazowy!J41</f>
        <v>0</v>
      </c>
      <c r="K46" s="311">
        <f>+Zał.1_WPF_bazowy!K41</f>
        <v>0</v>
      </c>
      <c r="L46" s="311">
        <f>+Zał.1_WPF_bazowy!L41</f>
        <v>0</v>
      </c>
      <c r="M46" s="311">
        <f>+Zał.1_WPF_bazowy!M41</f>
        <v>0</v>
      </c>
      <c r="N46" s="311">
        <f>+Zał.1_WPF_bazowy!N41</f>
        <v>0</v>
      </c>
      <c r="O46" s="311">
        <f>+Zał.1_WPF_bazowy!O41</f>
        <v>0</v>
      </c>
      <c r="P46" s="311">
        <f>+Zał.1_WPF_bazowy!P41</f>
        <v>0</v>
      </c>
      <c r="Q46" s="311">
        <f>+Zał.1_WPF_bazowy!Q41</f>
        <v>0</v>
      </c>
      <c r="R46" s="311">
        <f>+Zał.1_WPF_bazowy!R41</f>
        <v>0</v>
      </c>
      <c r="S46" s="311">
        <f>+Zał.1_WPF_bazowy!S41</f>
        <v>0</v>
      </c>
      <c r="T46" s="311">
        <f>+Zał.1_WPF_bazowy!T41</f>
        <v>0</v>
      </c>
      <c r="U46" s="311">
        <f>+Zał.1_WPF_bazowy!U41</f>
        <v>0</v>
      </c>
      <c r="V46" s="311">
        <f>+Zał.1_WPF_bazowy!V41</f>
        <v>0</v>
      </c>
      <c r="W46" s="311">
        <f>+Zał.1_WPF_bazowy!W41</f>
        <v>0</v>
      </c>
      <c r="X46" s="311">
        <f>+Zał.1_WPF_bazowy!X41</f>
        <v>0</v>
      </c>
      <c r="Y46" s="311">
        <f>+Zał.1_WPF_bazowy!Y41</f>
        <v>0</v>
      </c>
      <c r="Z46" s="311">
        <f>+Zał.1_WPF_bazowy!Z41</f>
        <v>0</v>
      </c>
      <c r="AA46" s="311">
        <f>+Zał.1_WPF_bazowy!AA41</f>
        <v>0</v>
      </c>
      <c r="AB46" s="311">
        <f>+Zał.1_WPF_bazowy!AB41</f>
        <v>0</v>
      </c>
      <c r="AC46" s="311">
        <f>+Zał.1_WPF_bazowy!AC41</f>
        <v>0</v>
      </c>
      <c r="AD46" s="311">
        <f>+Zał.1_WPF_bazowy!AD41</f>
        <v>0</v>
      </c>
      <c r="AE46" s="311">
        <f>+Zał.1_WPF_bazowy!AE41</f>
        <v>0</v>
      </c>
      <c r="AF46" s="311">
        <f>+Zał.1_WPF_bazowy!AF41</f>
        <v>0</v>
      </c>
      <c r="AG46" s="311">
        <f>+Zał.1_WPF_bazowy!AG41</f>
        <v>0</v>
      </c>
      <c r="AH46" s="311">
        <f>+Zał.1_WPF_bazowy!AH41</f>
        <v>0</v>
      </c>
      <c r="AI46" s="311">
        <f>+Zał.1_WPF_bazowy!AI41</f>
        <v>0</v>
      </c>
      <c r="AJ46" s="311">
        <f>+Zał.1_WPF_bazowy!AJ41</f>
        <v>0</v>
      </c>
      <c r="AK46" s="311">
        <f>+Zał.1_WPF_bazowy!AK41</f>
        <v>0</v>
      </c>
      <c r="AL46" s="312">
        <f>+Zał.1_WPF_bazowy!AL41</f>
        <v>0</v>
      </c>
    </row>
    <row r="47" spans="1:253" ht="24" outlineLevel="2">
      <c r="A47" s="375"/>
      <c r="B47" s="48" t="s">
        <v>175</v>
      </c>
      <c r="C47" s="257" t="s">
        <v>410</v>
      </c>
      <c r="D47" s="355" t="s">
        <v>454</v>
      </c>
      <c r="E47" s="250">
        <f>Zał.1_WPF_bazowy!E42</f>
        <v>0.43280000000000002</v>
      </c>
      <c r="F47" s="251">
        <f>Zał.1_WPF_bazowy!F42</f>
        <v>0.7954</v>
      </c>
      <c r="G47" s="251">
        <f>Zał.1_WPF_bazowy!G42</f>
        <v>0.68930000000000002</v>
      </c>
      <c r="H47" s="168">
        <f>+IF(H10&lt;&gt;0,H44/H10,"-")</f>
        <v>0.67182006326490451</v>
      </c>
      <c r="I47" s="166">
        <f>+IF(I10&lt;&gt;0,I44/I10,"-")</f>
        <v>0.60856491004935165</v>
      </c>
      <c r="J47" s="167">
        <f t="shared" ref="J47:AL47" si="6">+IF(J10&lt;&gt;0,J44/J10,"-")</f>
        <v>0.52052695993707565</v>
      </c>
      <c r="K47" s="167">
        <f t="shared" si="6"/>
        <v>0.59267045454545453</v>
      </c>
      <c r="L47" s="167">
        <f t="shared" si="6"/>
        <v>0.55901849927134217</v>
      </c>
      <c r="M47" s="167">
        <f t="shared" si="6"/>
        <v>0.51712786601985195</v>
      </c>
      <c r="N47" s="167">
        <f t="shared" si="6"/>
        <v>0.47618310688259025</v>
      </c>
      <c r="O47" s="167">
        <f t="shared" si="6"/>
        <v>0.40658012990530856</v>
      </c>
      <c r="P47" s="167">
        <f t="shared" si="6"/>
        <v>0.33661546258626268</v>
      </c>
      <c r="Q47" s="167">
        <f t="shared" si="6"/>
        <v>0.26498931340602677</v>
      </c>
      <c r="R47" s="167">
        <f t="shared" si="6"/>
        <v>0.19067028858281762</v>
      </c>
      <c r="S47" s="167">
        <f t="shared" si="6"/>
        <v>0.11162550116975339</v>
      </c>
      <c r="T47" s="167">
        <f t="shared" si="6"/>
        <v>3.5162103449085276E-2</v>
      </c>
      <c r="U47" s="167">
        <f t="shared" si="6"/>
        <v>0</v>
      </c>
      <c r="V47" s="167" t="str">
        <f t="shared" si="6"/>
        <v>-</v>
      </c>
      <c r="W47" s="167" t="str">
        <f t="shared" si="6"/>
        <v>-</v>
      </c>
      <c r="X47" s="167" t="str">
        <f t="shared" si="6"/>
        <v>-</v>
      </c>
      <c r="Y47" s="167" t="str">
        <f t="shared" si="6"/>
        <v>-</v>
      </c>
      <c r="Z47" s="167" t="str">
        <f t="shared" si="6"/>
        <v>-</v>
      </c>
      <c r="AA47" s="167" t="str">
        <f t="shared" si="6"/>
        <v>-</v>
      </c>
      <c r="AB47" s="167" t="str">
        <f t="shared" si="6"/>
        <v>-</v>
      </c>
      <c r="AC47" s="167" t="str">
        <f t="shared" si="6"/>
        <v>-</v>
      </c>
      <c r="AD47" s="167" t="str">
        <f t="shared" si="6"/>
        <v>-</v>
      </c>
      <c r="AE47" s="167" t="str">
        <f t="shared" si="6"/>
        <v>-</v>
      </c>
      <c r="AF47" s="167" t="str">
        <f t="shared" si="6"/>
        <v>-</v>
      </c>
      <c r="AG47" s="167" t="str">
        <f t="shared" si="6"/>
        <v>-</v>
      </c>
      <c r="AH47" s="167" t="str">
        <f t="shared" si="6"/>
        <v>-</v>
      </c>
      <c r="AI47" s="167" t="str">
        <f t="shared" si="6"/>
        <v>-</v>
      </c>
      <c r="AJ47" s="167" t="str">
        <f t="shared" si="6"/>
        <v>-</v>
      </c>
      <c r="AK47" s="167" t="str">
        <f t="shared" si="6"/>
        <v>-</v>
      </c>
      <c r="AL47" s="168" t="str">
        <f t="shared" si="6"/>
        <v>-</v>
      </c>
    </row>
    <row r="48" spans="1:253" ht="24" outlineLevel="2">
      <c r="A48" s="375"/>
      <c r="B48" s="48" t="s">
        <v>176</v>
      </c>
      <c r="C48" s="257" t="s">
        <v>411</v>
      </c>
      <c r="D48" s="355" t="s">
        <v>455</v>
      </c>
      <c r="E48" s="250">
        <f>Zał.1_WPF_bazowy!E43</f>
        <v>0.43280000000000002</v>
      </c>
      <c r="F48" s="251">
        <f>Zał.1_WPF_bazowy!F43</f>
        <v>0.38690000000000002</v>
      </c>
      <c r="G48" s="251">
        <f>Zał.1_WPF_bazowy!G43</f>
        <v>0.47960000000000003</v>
      </c>
      <c r="H48" s="168">
        <f>+IF(H10&lt;&gt;0,(H44-H45)/H10,"-")</f>
        <v>0.50375815105481336</v>
      </c>
      <c r="I48" s="166">
        <f>+IF(I10&lt;&gt;0,(I44-I45)/I10,"-")</f>
        <v>0.47229605382405021</v>
      </c>
      <c r="J48" s="167">
        <f t="shared" ref="J48:AL48" si="7">+IF(J10&lt;&gt;0,(J44-J45)/J10,"-")</f>
        <v>0.52052695993707565</v>
      </c>
      <c r="K48" s="167">
        <f t="shared" si="7"/>
        <v>0.59267045454545453</v>
      </c>
      <c r="L48" s="167">
        <f t="shared" si="7"/>
        <v>0.55901849927134217</v>
      </c>
      <c r="M48" s="167">
        <f t="shared" si="7"/>
        <v>0.51712786601985195</v>
      </c>
      <c r="N48" s="167">
        <f t="shared" si="7"/>
        <v>0.47618310688259025</v>
      </c>
      <c r="O48" s="167">
        <f t="shared" si="7"/>
        <v>0.40658012990530856</v>
      </c>
      <c r="P48" s="167">
        <f t="shared" si="7"/>
        <v>0.33661546258626268</v>
      </c>
      <c r="Q48" s="167">
        <f t="shared" si="7"/>
        <v>0.26498931340602677</v>
      </c>
      <c r="R48" s="167">
        <f t="shared" si="7"/>
        <v>0.19067028858281762</v>
      </c>
      <c r="S48" s="167">
        <f t="shared" si="7"/>
        <v>0.11162550116975339</v>
      </c>
      <c r="T48" s="167">
        <f t="shared" si="7"/>
        <v>3.5162103449085276E-2</v>
      </c>
      <c r="U48" s="167">
        <f t="shared" si="7"/>
        <v>0</v>
      </c>
      <c r="V48" s="167" t="str">
        <f t="shared" si="7"/>
        <v>-</v>
      </c>
      <c r="W48" s="167" t="str">
        <f t="shared" si="7"/>
        <v>-</v>
      </c>
      <c r="X48" s="167" t="str">
        <f t="shared" si="7"/>
        <v>-</v>
      </c>
      <c r="Y48" s="167" t="str">
        <f t="shared" si="7"/>
        <v>-</v>
      </c>
      <c r="Z48" s="167" t="str">
        <f t="shared" si="7"/>
        <v>-</v>
      </c>
      <c r="AA48" s="167" t="str">
        <f t="shared" si="7"/>
        <v>-</v>
      </c>
      <c r="AB48" s="167" t="str">
        <f t="shared" si="7"/>
        <v>-</v>
      </c>
      <c r="AC48" s="167" t="str">
        <f t="shared" si="7"/>
        <v>-</v>
      </c>
      <c r="AD48" s="167" t="str">
        <f t="shared" si="7"/>
        <v>-</v>
      </c>
      <c r="AE48" s="167" t="str">
        <f t="shared" si="7"/>
        <v>-</v>
      </c>
      <c r="AF48" s="167" t="str">
        <f t="shared" si="7"/>
        <v>-</v>
      </c>
      <c r="AG48" s="167" t="str">
        <f t="shared" si="7"/>
        <v>-</v>
      </c>
      <c r="AH48" s="167" t="str">
        <f t="shared" si="7"/>
        <v>-</v>
      </c>
      <c r="AI48" s="167" t="str">
        <f t="shared" si="7"/>
        <v>-</v>
      </c>
      <c r="AJ48" s="167" t="str">
        <f t="shared" si="7"/>
        <v>-</v>
      </c>
      <c r="AK48" s="167" t="str">
        <f t="shared" si="7"/>
        <v>-</v>
      </c>
      <c r="AL48" s="168" t="str">
        <f t="shared" si="7"/>
        <v>-</v>
      </c>
    </row>
    <row r="49" spans="1:38" s="149" customFormat="1" ht="40.5" customHeight="1" outlineLevel="1">
      <c r="A49" s="375"/>
      <c r="B49" s="47">
        <v>7</v>
      </c>
      <c r="C49" s="256"/>
      <c r="D49" s="353" t="s">
        <v>276</v>
      </c>
      <c r="E49" s="244">
        <f>Zał.1_WPF_bazowy!E44</f>
        <v>0</v>
      </c>
      <c r="F49" s="245">
        <f>Zał.1_WPF_bazowy!F44</f>
        <v>0</v>
      </c>
      <c r="G49" s="245">
        <f>Zał.1_WPF_bazowy!G44</f>
        <v>0</v>
      </c>
      <c r="H49" s="314">
        <f>Zał.1_WPF_bazowy!H44</f>
        <v>0</v>
      </c>
      <c r="I49" s="318">
        <f>+Zał.1_WPF_bazowy!I44</f>
        <v>0</v>
      </c>
      <c r="J49" s="319">
        <f>+Zał.1_WPF_bazowy!J44</f>
        <v>0</v>
      </c>
      <c r="K49" s="319">
        <f>+Zał.1_WPF_bazowy!K44</f>
        <v>0</v>
      </c>
      <c r="L49" s="319">
        <f>+Zał.1_WPF_bazowy!L44</f>
        <v>0</v>
      </c>
      <c r="M49" s="319">
        <f>+Zał.1_WPF_bazowy!M44</f>
        <v>0</v>
      </c>
      <c r="N49" s="319">
        <f>+Zał.1_WPF_bazowy!N44</f>
        <v>0</v>
      </c>
      <c r="O49" s="319">
        <f>+Zał.1_WPF_bazowy!O44</f>
        <v>0</v>
      </c>
      <c r="P49" s="319">
        <f>+Zał.1_WPF_bazowy!P44</f>
        <v>0</v>
      </c>
      <c r="Q49" s="319">
        <f>+Zał.1_WPF_bazowy!Q44</f>
        <v>0</v>
      </c>
      <c r="R49" s="319">
        <f>+Zał.1_WPF_bazowy!R44</f>
        <v>0</v>
      </c>
      <c r="S49" s="319">
        <f>+Zał.1_WPF_bazowy!S44</f>
        <v>0</v>
      </c>
      <c r="T49" s="319">
        <f>+Zał.1_WPF_bazowy!T44</f>
        <v>0</v>
      </c>
      <c r="U49" s="319">
        <f>+Zał.1_WPF_bazowy!U44</f>
        <v>0</v>
      </c>
      <c r="V49" s="319">
        <f>+Zał.1_WPF_bazowy!V44</f>
        <v>0</v>
      </c>
      <c r="W49" s="319">
        <f>+Zał.1_WPF_bazowy!W44</f>
        <v>0</v>
      </c>
      <c r="X49" s="319">
        <f>+Zał.1_WPF_bazowy!X44</f>
        <v>0</v>
      </c>
      <c r="Y49" s="319">
        <f>+Zał.1_WPF_bazowy!Y44</f>
        <v>0</v>
      </c>
      <c r="Z49" s="319">
        <f>+Zał.1_WPF_bazowy!Z44</f>
        <v>0</v>
      </c>
      <c r="AA49" s="319">
        <f>+Zał.1_WPF_bazowy!AA44</f>
        <v>0</v>
      </c>
      <c r="AB49" s="319">
        <f>+Zał.1_WPF_bazowy!AB44</f>
        <v>0</v>
      </c>
      <c r="AC49" s="319">
        <f>+Zał.1_WPF_bazowy!AC44</f>
        <v>0</v>
      </c>
      <c r="AD49" s="319">
        <f>+Zał.1_WPF_bazowy!AD44</f>
        <v>0</v>
      </c>
      <c r="AE49" s="319">
        <f>+Zał.1_WPF_bazowy!AE44</f>
        <v>0</v>
      </c>
      <c r="AF49" s="319">
        <f>+Zał.1_WPF_bazowy!AF44</f>
        <v>0</v>
      </c>
      <c r="AG49" s="319">
        <f>+Zał.1_WPF_bazowy!AG44</f>
        <v>0</v>
      </c>
      <c r="AH49" s="319">
        <f>+Zał.1_WPF_bazowy!AH44</f>
        <v>0</v>
      </c>
      <c r="AI49" s="319">
        <f>+Zał.1_WPF_bazowy!AI44</f>
        <v>0</v>
      </c>
      <c r="AJ49" s="319">
        <f>+Zał.1_WPF_bazowy!AJ44</f>
        <v>0</v>
      </c>
      <c r="AK49" s="319">
        <f>+Zał.1_WPF_bazowy!AK44</f>
        <v>0</v>
      </c>
      <c r="AL49" s="320">
        <f>+Zał.1_WPF_bazowy!AL44</f>
        <v>0</v>
      </c>
    </row>
    <row r="50" spans="1:38" s="149" customFormat="1" ht="15" outlineLevel="1">
      <c r="A50" s="375"/>
      <c r="B50" s="47">
        <v>8</v>
      </c>
      <c r="C50" s="256"/>
      <c r="D50" s="353" t="s">
        <v>177</v>
      </c>
      <c r="E50" s="252" t="s">
        <v>31</v>
      </c>
      <c r="F50" s="253" t="s">
        <v>31</v>
      </c>
      <c r="G50" s="253" t="s">
        <v>31</v>
      </c>
      <c r="H50" s="321" t="s">
        <v>31</v>
      </c>
      <c r="I50" s="322" t="s">
        <v>31</v>
      </c>
      <c r="J50" s="323" t="s">
        <v>31</v>
      </c>
      <c r="K50" s="323" t="s">
        <v>31</v>
      </c>
      <c r="L50" s="323" t="s">
        <v>31</v>
      </c>
      <c r="M50" s="323" t="s">
        <v>31</v>
      </c>
      <c r="N50" s="323" t="s">
        <v>31</v>
      </c>
      <c r="O50" s="323" t="s">
        <v>31</v>
      </c>
      <c r="P50" s="323" t="s">
        <v>31</v>
      </c>
      <c r="Q50" s="323" t="s">
        <v>31</v>
      </c>
      <c r="R50" s="323" t="s">
        <v>31</v>
      </c>
      <c r="S50" s="323" t="s">
        <v>31</v>
      </c>
      <c r="T50" s="323" t="s">
        <v>31</v>
      </c>
      <c r="U50" s="323" t="s">
        <v>31</v>
      </c>
      <c r="V50" s="323" t="s">
        <v>31</v>
      </c>
      <c r="W50" s="323" t="s">
        <v>31</v>
      </c>
      <c r="X50" s="323" t="s">
        <v>31</v>
      </c>
      <c r="Y50" s="323" t="s">
        <v>31</v>
      </c>
      <c r="Z50" s="323" t="s">
        <v>31</v>
      </c>
      <c r="AA50" s="323" t="s">
        <v>31</v>
      </c>
      <c r="AB50" s="323" t="s">
        <v>31</v>
      </c>
      <c r="AC50" s="323" t="s">
        <v>31</v>
      </c>
      <c r="AD50" s="323" t="s">
        <v>31</v>
      </c>
      <c r="AE50" s="323" t="s">
        <v>31</v>
      </c>
      <c r="AF50" s="323" t="s">
        <v>31</v>
      </c>
      <c r="AG50" s="323" t="s">
        <v>31</v>
      </c>
      <c r="AH50" s="323" t="s">
        <v>31</v>
      </c>
      <c r="AI50" s="323" t="s">
        <v>31</v>
      </c>
      <c r="AJ50" s="323" t="s">
        <v>31</v>
      </c>
      <c r="AK50" s="323" t="s">
        <v>31</v>
      </c>
      <c r="AL50" s="324" t="s">
        <v>31</v>
      </c>
    </row>
    <row r="51" spans="1:38" outlineLevel="2">
      <c r="A51" s="375"/>
      <c r="B51" s="48" t="s">
        <v>178</v>
      </c>
      <c r="C51" s="257" t="s">
        <v>412</v>
      </c>
      <c r="D51" s="355" t="s">
        <v>275</v>
      </c>
      <c r="E51" s="246">
        <f>Zał.1_WPF_bazowy!E46</f>
        <v>-855227.29</v>
      </c>
      <c r="F51" s="247">
        <f>Zał.1_WPF_bazowy!F46</f>
        <v>12274.48</v>
      </c>
      <c r="G51" s="247">
        <f>Zał.1_WPF_bazowy!G46</f>
        <v>-92653</v>
      </c>
      <c r="H51" s="171">
        <f>+H11-H22</f>
        <v>513374.71000000089</v>
      </c>
      <c r="I51" s="169">
        <f>+I11-I22</f>
        <v>-413988</v>
      </c>
      <c r="J51" s="170">
        <f t="shared" ref="J51:AL51" si="8">+J11-J22</f>
        <v>527017</v>
      </c>
      <c r="K51" s="170">
        <f t="shared" si="8"/>
        <v>1026327</v>
      </c>
      <c r="L51" s="170">
        <f t="shared" si="8"/>
        <v>1297417</v>
      </c>
      <c r="M51" s="170">
        <f t="shared" si="8"/>
        <v>1403340</v>
      </c>
      <c r="N51" s="170">
        <f t="shared" si="8"/>
        <v>1504150</v>
      </c>
      <c r="O51" s="170">
        <f t="shared" si="8"/>
        <v>1406904</v>
      </c>
      <c r="P51" s="170">
        <f t="shared" si="8"/>
        <v>1247662</v>
      </c>
      <c r="Q51" s="170">
        <f t="shared" si="8"/>
        <v>2096481</v>
      </c>
      <c r="R51" s="170">
        <f t="shared" si="8"/>
        <v>2241426</v>
      </c>
      <c r="S51" s="170">
        <f t="shared" si="8"/>
        <v>2396559</v>
      </c>
      <c r="T51" s="170">
        <f t="shared" si="8"/>
        <v>2563945</v>
      </c>
      <c r="U51" s="170">
        <f t="shared" si="8"/>
        <v>2736654</v>
      </c>
      <c r="V51" s="170">
        <f t="shared" si="8"/>
        <v>0</v>
      </c>
      <c r="W51" s="170">
        <f t="shared" si="8"/>
        <v>0</v>
      </c>
      <c r="X51" s="170">
        <f t="shared" si="8"/>
        <v>0</v>
      </c>
      <c r="Y51" s="170">
        <f t="shared" si="8"/>
        <v>0</v>
      </c>
      <c r="Z51" s="170">
        <f t="shared" si="8"/>
        <v>0</v>
      </c>
      <c r="AA51" s="170">
        <f t="shared" si="8"/>
        <v>0</v>
      </c>
      <c r="AB51" s="170">
        <f t="shared" si="8"/>
        <v>0</v>
      </c>
      <c r="AC51" s="170">
        <f t="shared" si="8"/>
        <v>0</v>
      </c>
      <c r="AD51" s="170">
        <f t="shared" si="8"/>
        <v>0</v>
      </c>
      <c r="AE51" s="170">
        <f t="shared" si="8"/>
        <v>0</v>
      </c>
      <c r="AF51" s="170">
        <f t="shared" si="8"/>
        <v>0</v>
      </c>
      <c r="AG51" s="170">
        <f t="shared" si="8"/>
        <v>0</v>
      </c>
      <c r="AH51" s="170">
        <f t="shared" si="8"/>
        <v>0</v>
      </c>
      <c r="AI51" s="170">
        <f t="shared" si="8"/>
        <v>0</v>
      </c>
      <c r="AJ51" s="170">
        <f t="shared" si="8"/>
        <v>0</v>
      </c>
      <c r="AK51" s="170">
        <f t="shared" si="8"/>
        <v>0</v>
      </c>
      <c r="AL51" s="171">
        <f t="shared" si="8"/>
        <v>0</v>
      </c>
    </row>
    <row r="52" spans="1:38" ht="24" outlineLevel="2">
      <c r="A52" s="375"/>
      <c r="B52" s="48" t="s">
        <v>179</v>
      </c>
      <c r="C52" s="257" t="s">
        <v>445</v>
      </c>
      <c r="D52" s="355" t="s">
        <v>456</v>
      </c>
      <c r="E52" s="246">
        <f>Zał.1_WPF_bazowy!E47</f>
        <v>-855227.29</v>
      </c>
      <c r="F52" s="247">
        <f>Zał.1_WPF_bazowy!F47</f>
        <v>12274.48</v>
      </c>
      <c r="G52" s="247">
        <f>Zał.1_WPF_bazowy!G47</f>
        <v>2094138</v>
      </c>
      <c r="H52" s="171">
        <f>+H11+H31+H33-H22</f>
        <v>2745681.5499999989</v>
      </c>
      <c r="I52" s="169">
        <f>+I11+I31+I33-(I22-I25)</f>
        <v>1638012</v>
      </c>
      <c r="J52" s="170">
        <f>+J11+J31+J33-(J22-J25)</f>
        <v>527017</v>
      </c>
      <c r="K52" s="170">
        <f>+K11+K31+K33-(K22-K25)</f>
        <v>1026327</v>
      </c>
      <c r="L52" s="170">
        <f>+L11+L31+L33-L22</f>
        <v>1297417</v>
      </c>
      <c r="M52" s="170">
        <f t="shared" ref="M52:AL52" si="9">+M11+M31+M33-M22</f>
        <v>1403340</v>
      </c>
      <c r="N52" s="170">
        <f t="shared" si="9"/>
        <v>1504150</v>
      </c>
      <c r="O52" s="170">
        <f t="shared" si="9"/>
        <v>1406904</v>
      </c>
      <c r="P52" s="170">
        <f t="shared" si="9"/>
        <v>1247662</v>
      </c>
      <c r="Q52" s="170">
        <f t="shared" si="9"/>
        <v>2096481</v>
      </c>
      <c r="R52" s="170">
        <f t="shared" si="9"/>
        <v>2241426</v>
      </c>
      <c r="S52" s="170">
        <f t="shared" si="9"/>
        <v>2396559</v>
      </c>
      <c r="T52" s="170">
        <f t="shared" si="9"/>
        <v>2563945</v>
      </c>
      <c r="U52" s="170">
        <f t="shared" si="9"/>
        <v>2736654</v>
      </c>
      <c r="V52" s="170">
        <f t="shared" si="9"/>
        <v>0</v>
      </c>
      <c r="W52" s="170">
        <f t="shared" si="9"/>
        <v>0</v>
      </c>
      <c r="X52" s="170">
        <f t="shared" si="9"/>
        <v>0</v>
      </c>
      <c r="Y52" s="170">
        <f t="shared" si="9"/>
        <v>0</v>
      </c>
      <c r="Z52" s="170">
        <f t="shared" si="9"/>
        <v>0</v>
      </c>
      <c r="AA52" s="170">
        <f t="shared" si="9"/>
        <v>0</v>
      </c>
      <c r="AB52" s="170">
        <f t="shared" si="9"/>
        <v>0</v>
      </c>
      <c r="AC52" s="170">
        <f t="shared" si="9"/>
        <v>0</v>
      </c>
      <c r="AD52" s="170">
        <f t="shared" si="9"/>
        <v>0</v>
      </c>
      <c r="AE52" s="170">
        <f t="shared" si="9"/>
        <v>0</v>
      </c>
      <c r="AF52" s="170">
        <f t="shared" si="9"/>
        <v>0</v>
      </c>
      <c r="AG52" s="170">
        <f t="shared" si="9"/>
        <v>0</v>
      </c>
      <c r="AH52" s="170">
        <f t="shared" si="9"/>
        <v>0</v>
      </c>
      <c r="AI52" s="170">
        <f t="shared" si="9"/>
        <v>0</v>
      </c>
      <c r="AJ52" s="170">
        <f t="shared" si="9"/>
        <v>0</v>
      </c>
      <c r="AK52" s="170">
        <f t="shared" si="9"/>
        <v>0</v>
      </c>
      <c r="AL52" s="171">
        <f t="shared" si="9"/>
        <v>0</v>
      </c>
    </row>
    <row r="53" spans="1:38" s="149" customFormat="1" ht="15" outlineLevel="1">
      <c r="A53" s="375" t="s">
        <v>31</v>
      </c>
      <c r="B53" s="47">
        <v>9</v>
      </c>
      <c r="C53" s="256"/>
      <c r="D53" s="353" t="s">
        <v>180</v>
      </c>
      <c r="E53" s="252" t="s">
        <v>31</v>
      </c>
      <c r="F53" s="253" t="s">
        <v>31</v>
      </c>
      <c r="G53" s="253" t="s">
        <v>31</v>
      </c>
      <c r="H53" s="321" t="s">
        <v>31</v>
      </c>
      <c r="I53" s="322" t="s">
        <v>31</v>
      </c>
      <c r="J53" s="323" t="s">
        <v>31</v>
      </c>
      <c r="K53" s="323" t="s">
        <v>31</v>
      </c>
      <c r="L53" s="323" t="s">
        <v>31</v>
      </c>
      <c r="M53" s="323" t="s">
        <v>31</v>
      </c>
      <c r="N53" s="323" t="s">
        <v>31</v>
      </c>
      <c r="O53" s="323" t="s">
        <v>31</v>
      </c>
      <c r="P53" s="323" t="s">
        <v>31</v>
      </c>
      <c r="Q53" s="323" t="s">
        <v>31</v>
      </c>
      <c r="R53" s="323" t="s">
        <v>31</v>
      </c>
      <c r="S53" s="323" t="s">
        <v>31</v>
      </c>
      <c r="T53" s="323" t="s">
        <v>31</v>
      </c>
      <c r="U53" s="323" t="s">
        <v>31</v>
      </c>
      <c r="V53" s="323" t="s">
        <v>31</v>
      </c>
      <c r="W53" s="323" t="s">
        <v>31</v>
      </c>
      <c r="X53" s="323" t="s">
        <v>31</v>
      </c>
      <c r="Y53" s="323" t="s">
        <v>31</v>
      </c>
      <c r="Z53" s="323" t="s">
        <v>31</v>
      </c>
      <c r="AA53" s="323" t="s">
        <v>31</v>
      </c>
      <c r="AB53" s="323" t="s">
        <v>31</v>
      </c>
      <c r="AC53" s="323" t="s">
        <v>31</v>
      </c>
      <c r="AD53" s="323" t="s">
        <v>31</v>
      </c>
      <c r="AE53" s="323" t="s">
        <v>31</v>
      </c>
      <c r="AF53" s="323" t="s">
        <v>31</v>
      </c>
      <c r="AG53" s="323" t="s">
        <v>31</v>
      </c>
      <c r="AH53" s="323" t="s">
        <v>31</v>
      </c>
      <c r="AI53" s="323" t="s">
        <v>31</v>
      </c>
      <c r="AJ53" s="323" t="s">
        <v>31</v>
      </c>
      <c r="AK53" s="323" t="s">
        <v>31</v>
      </c>
      <c r="AL53" s="324" t="s">
        <v>31</v>
      </c>
    </row>
    <row r="54" spans="1:38" ht="24" outlineLevel="2">
      <c r="A54" s="375"/>
      <c r="B54" s="48" t="s">
        <v>181</v>
      </c>
      <c r="C54" s="257" t="s">
        <v>413</v>
      </c>
      <c r="D54" s="355" t="s">
        <v>457</v>
      </c>
      <c r="E54" s="250">
        <f>Zał.1_WPF_bazowy!E49</f>
        <v>2.2700000000000001E-2</v>
      </c>
      <c r="F54" s="251">
        <f>Zał.1_WPF_bazowy!F49</f>
        <v>0.21060000000000001</v>
      </c>
      <c r="G54" s="251">
        <f>Zał.1_WPF_bazowy!G49</f>
        <v>0.22370000000000001</v>
      </c>
      <c r="H54" s="168">
        <f>+IF(H10&lt;&gt;0,(H23+H27+H40)/H10,"-")</f>
        <v>0.22183016125713503</v>
      </c>
      <c r="I54" s="166">
        <f>+IF(I10&lt;&gt;0,(I23+I27+I40)/I10,"-")</f>
        <v>0.15018908243401166</v>
      </c>
      <c r="J54" s="167">
        <f t="shared" ref="J54:AL54" si="10">+IF(J10&lt;&gt;0,(J23+J27+J40)/J10,"-")</f>
        <v>7.9356676607567747E-2</v>
      </c>
      <c r="K54" s="167">
        <f t="shared" si="10"/>
        <v>4.2329545454545453E-2</v>
      </c>
      <c r="L54" s="167">
        <f t="shared" si="10"/>
        <v>5.5729089748912587E-2</v>
      </c>
      <c r="M54" s="167">
        <f t="shared" si="10"/>
        <v>6.3441516380550178E-2</v>
      </c>
      <c r="N54" s="167">
        <f t="shared" si="10"/>
        <v>6.0446298586273775E-2</v>
      </c>
      <c r="O54" s="167">
        <f t="shared" si="10"/>
        <v>8.9776899343525743E-2</v>
      </c>
      <c r="P54" s="167">
        <f t="shared" si="10"/>
        <v>9.1079179815237402E-2</v>
      </c>
      <c r="Q54" s="167">
        <f t="shared" si="10"/>
        <v>7.9274721512034907E-2</v>
      </c>
      <c r="R54" s="167">
        <f t="shared" si="10"/>
        <v>7.9909963091930672E-2</v>
      </c>
      <c r="S54" s="167">
        <f t="shared" si="10"/>
        <v>8.2488857913746175E-2</v>
      </c>
      <c r="T54" s="167">
        <f t="shared" si="10"/>
        <v>7.7659504387549039E-2</v>
      </c>
      <c r="U54" s="167">
        <f t="shared" si="10"/>
        <v>3.5620672814502E-2</v>
      </c>
      <c r="V54" s="167" t="str">
        <f t="shared" si="10"/>
        <v>-</v>
      </c>
      <c r="W54" s="167" t="str">
        <f t="shared" si="10"/>
        <v>-</v>
      </c>
      <c r="X54" s="167" t="str">
        <f t="shared" si="10"/>
        <v>-</v>
      </c>
      <c r="Y54" s="167" t="str">
        <f t="shared" si="10"/>
        <v>-</v>
      </c>
      <c r="Z54" s="167" t="str">
        <f t="shared" si="10"/>
        <v>-</v>
      </c>
      <c r="AA54" s="167" t="str">
        <f t="shared" si="10"/>
        <v>-</v>
      </c>
      <c r="AB54" s="167" t="str">
        <f t="shared" si="10"/>
        <v>-</v>
      </c>
      <c r="AC54" s="167" t="str">
        <f t="shared" si="10"/>
        <v>-</v>
      </c>
      <c r="AD54" s="167" t="str">
        <f t="shared" si="10"/>
        <v>-</v>
      </c>
      <c r="AE54" s="167" t="str">
        <f t="shared" si="10"/>
        <v>-</v>
      </c>
      <c r="AF54" s="167" t="str">
        <f t="shared" si="10"/>
        <v>-</v>
      </c>
      <c r="AG54" s="167" t="str">
        <f t="shared" si="10"/>
        <v>-</v>
      </c>
      <c r="AH54" s="167" t="str">
        <f t="shared" si="10"/>
        <v>-</v>
      </c>
      <c r="AI54" s="167" t="str">
        <f t="shared" si="10"/>
        <v>-</v>
      </c>
      <c r="AJ54" s="167" t="str">
        <f t="shared" si="10"/>
        <v>-</v>
      </c>
      <c r="AK54" s="167" t="str">
        <f t="shared" si="10"/>
        <v>-</v>
      </c>
      <c r="AL54" s="168" t="str">
        <f t="shared" si="10"/>
        <v>-</v>
      </c>
    </row>
    <row r="55" spans="1:38" ht="24" outlineLevel="2">
      <c r="A55" s="375"/>
      <c r="B55" s="48" t="s">
        <v>182</v>
      </c>
      <c r="C55" s="257" t="s">
        <v>414</v>
      </c>
      <c r="D55" s="355" t="s">
        <v>235</v>
      </c>
      <c r="E55" s="250">
        <f>Zał.1_WPF_bazowy!E50</f>
        <v>2.2700000000000001E-2</v>
      </c>
      <c r="F55" s="251">
        <f>Zał.1_WPF_bazowy!F50</f>
        <v>0.21060000000000001</v>
      </c>
      <c r="G55" s="251">
        <f>Zał.1_WPF_bazowy!G50</f>
        <v>0.22370000000000001</v>
      </c>
      <c r="H55" s="168">
        <f>+IF(H10&lt;&gt;0,(H23+H27+H40-H41)/H10,"-")</f>
        <v>7.6075918598556891E-2</v>
      </c>
      <c r="I55" s="166">
        <f>+IF(I10&lt;&gt;0,(I23+I27+I40-I41)/I10,"-")</f>
        <v>0.12603480629848979</v>
      </c>
      <c r="J55" s="167">
        <f t="shared" ref="J55:AL55" si="11">+IF(J10&lt;&gt;0,(J23+J27+J40-J41)/J10,"-")</f>
        <v>2.7160032441918024E-2</v>
      </c>
      <c r="K55" s="167">
        <f t="shared" si="11"/>
        <v>4.2329545454545453E-2</v>
      </c>
      <c r="L55" s="167">
        <f t="shared" si="11"/>
        <v>5.5729089748912587E-2</v>
      </c>
      <c r="M55" s="167">
        <f t="shared" si="11"/>
        <v>6.3441516380550178E-2</v>
      </c>
      <c r="N55" s="167">
        <f t="shared" si="11"/>
        <v>6.0446298586273775E-2</v>
      </c>
      <c r="O55" s="167">
        <f t="shared" si="11"/>
        <v>8.9776899343525743E-2</v>
      </c>
      <c r="P55" s="167">
        <f t="shared" si="11"/>
        <v>9.1079179815237402E-2</v>
      </c>
      <c r="Q55" s="167">
        <f t="shared" si="11"/>
        <v>7.9274721512034907E-2</v>
      </c>
      <c r="R55" s="167">
        <f t="shared" si="11"/>
        <v>7.9909963091930672E-2</v>
      </c>
      <c r="S55" s="167">
        <f t="shared" si="11"/>
        <v>8.2488857913746175E-2</v>
      </c>
      <c r="T55" s="167">
        <f t="shared" si="11"/>
        <v>7.7659504387549039E-2</v>
      </c>
      <c r="U55" s="167">
        <f t="shared" si="11"/>
        <v>3.5620672814502E-2</v>
      </c>
      <c r="V55" s="167" t="str">
        <f t="shared" si="11"/>
        <v>-</v>
      </c>
      <c r="W55" s="167" t="str">
        <f t="shared" si="11"/>
        <v>-</v>
      </c>
      <c r="X55" s="167" t="str">
        <f t="shared" si="11"/>
        <v>-</v>
      </c>
      <c r="Y55" s="167" t="str">
        <f t="shared" si="11"/>
        <v>-</v>
      </c>
      <c r="Z55" s="167" t="str">
        <f t="shared" si="11"/>
        <v>-</v>
      </c>
      <c r="AA55" s="167" t="str">
        <f t="shared" si="11"/>
        <v>-</v>
      </c>
      <c r="AB55" s="167" t="str">
        <f t="shared" si="11"/>
        <v>-</v>
      </c>
      <c r="AC55" s="167" t="str">
        <f t="shared" si="11"/>
        <v>-</v>
      </c>
      <c r="AD55" s="167" t="str">
        <f t="shared" si="11"/>
        <v>-</v>
      </c>
      <c r="AE55" s="167" t="str">
        <f t="shared" si="11"/>
        <v>-</v>
      </c>
      <c r="AF55" s="167" t="str">
        <f t="shared" si="11"/>
        <v>-</v>
      </c>
      <c r="AG55" s="167" t="str">
        <f t="shared" si="11"/>
        <v>-</v>
      </c>
      <c r="AH55" s="167" t="str">
        <f t="shared" si="11"/>
        <v>-</v>
      </c>
      <c r="AI55" s="167" t="str">
        <f t="shared" si="11"/>
        <v>-</v>
      </c>
      <c r="AJ55" s="167" t="str">
        <f t="shared" si="11"/>
        <v>-</v>
      </c>
      <c r="AK55" s="167" t="str">
        <f t="shared" si="11"/>
        <v>-</v>
      </c>
      <c r="AL55" s="168" t="str">
        <f t="shared" si="11"/>
        <v>-</v>
      </c>
    </row>
    <row r="56" spans="1:38" ht="36" outlineLevel="2">
      <c r="A56" s="375" t="s">
        <v>31</v>
      </c>
      <c r="B56" s="48" t="s">
        <v>183</v>
      </c>
      <c r="C56" s="257" t="s">
        <v>413</v>
      </c>
      <c r="D56" s="355" t="s">
        <v>237</v>
      </c>
      <c r="E56" s="250">
        <f>Zał.1_WPF_bazowy!E51</f>
        <v>2.2700000000000001E-2</v>
      </c>
      <c r="F56" s="251">
        <f>Zał.1_WPF_bazowy!F51</f>
        <v>0.21060000000000001</v>
      </c>
      <c r="G56" s="251">
        <f>Zał.1_WPF_bazowy!G51</f>
        <v>0.22370000000000001</v>
      </c>
      <c r="H56" s="168">
        <f>+IF(H10&lt;&gt;0,(H23+H27+H40)/H10,"-")</f>
        <v>0.22183016125713503</v>
      </c>
      <c r="I56" s="166">
        <f>+IF(I10&lt;&gt;0,(I23+I27+I40)/I10,"-")</f>
        <v>0.15018908243401166</v>
      </c>
      <c r="J56" s="167">
        <f t="shared" ref="J56:AL56" si="12">+IF(J10&lt;&gt;0,(J23+J27+J40)/J10,"-")</f>
        <v>7.9356676607567747E-2</v>
      </c>
      <c r="K56" s="167">
        <f t="shared" si="12"/>
        <v>4.2329545454545453E-2</v>
      </c>
      <c r="L56" s="167">
        <f t="shared" si="12"/>
        <v>5.5729089748912587E-2</v>
      </c>
      <c r="M56" s="167">
        <f t="shared" si="12"/>
        <v>6.3441516380550178E-2</v>
      </c>
      <c r="N56" s="167">
        <f t="shared" si="12"/>
        <v>6.0446298586273775E-2</v>
      </c>
      <c r="O56" s="167">
        <f t="shared" si="12"/>
        <v>8.9776899343525743E-2</v>
      </c>
      <c r="P56" s="167">
        <f t="shared" si="12"/>
        <v>9.1079179815237402E-2</v>
      </c>
      <c r="Q56" s="167">
        <f t="shared" si="12"/>
        <v>7.9274721512034907E-2</v>
      </c>
      <c r="R56" s="167">
        <f t="shared" si="12"/>
        <v>7.9909963091930672E-2</v>
      </c>
      <c r="S56" s="167">
        <f t="shared" si="12"/>
        <v>8.2488857913746175E-2</v>
      </c>
      <c r="T56" s="167">
        <f t="shared" si="12"/>
        <v>7.7659504387549039E-2</v>
      </c>
      <c r="U56" s="167">
        <f t="shared" si="12"/>
        <v>3.5620672814502E-2</v>
      </c>
      <c r="V56" s="167" t="str">
        <f t="shared" si="12"/>
        <v>-</v>
      </c>
      <c r="W56" s="167" t="str">
        <f t="shared" si="12"/>
        <v>-</v>
      </c>
      <c r="X56" s="167" t="str">
        <f t="shared" si="12"/>
        <v>-</v>
      </c>
      <c r="Y56" s="167" t="str">
        <f t="shared" si="12"/>
        <v>-</v>
      </c>
      <c r="Z56" s="167" t="str">
        <f t="shared" si="12"/>
        <v>-</v>
      </c>
      <c r="AA56" s="167" t="str">
        <f t="shared" si="12"/>
        <v>-</v>
      </c>
      <c r="AB56" s="167" t="str">
        <f t="shared" si="12"/>
        <v>-</v>
      </c>
      <c r="AC56" s="167" t="str">
        <f t="shared" si="12"/>
        <v>-</v>
      </c>
      <c r="AD56" s="167" t="str">
        <f t="shared" si="12"/>
        <v>-</v>
      </c>
      <c r="AE56" s="167" t="str">
        <f t="shared" si="12"/>
        <v>-</v>
      </c>
      <c r="AF56" s="167" t="str">
        <f t="shared" si="12"/>
        <v>-</v>
      </c>
      <c r="AG56" s="167" t="str">
        <f t="shared" si="12"/>
        <v>-</v>
      </c>
      <c r="AH56" s="167" t="str">
        <f t="shared" si="12"/>
        <v>-</v>
      </c>
      <c r="AI56" s="167" t="str">
        <f t="shared" si="12"/>
        <v>-</v>
      </c>
      <c r="AJ56" s="167" t="str">
        <f t="shared" si="12"/>
        <v>-</v>
      </c>
      <c r="AK56" s="167" t="str">
        <f t="shared" si="12"/>
        <v>-</v>
      </c>
      <c r="AL56" s="168" t="str">
        <f t="shared" si="12"/>
        <v>-</v>
      </c>
    </row>
    <row r="57" spans="1:38" ht="36" outlineLevel="2">
      <c r="A57" s="375" t="s">
        <v>31</v>
      </c>
      <c r="B57" s="48" t="s">
        <v>184</v>
      </c>
      <c r="C57" s="257" t="s">
        <v>414</v>
      </c>
      <c r="D57" s="355" t="s">
        <v>236</v>
      </c>
      <c r="E57" s="250">
        <f>Zał.1_WPF_bazowy!E52</f>
        <v>2.2700000000000001E-2</v>
      </c>
      <c r="F57" s="251">
        <f>Zał.1_WPF_bazowy!F52</f>
        <v>0.21060000000000001</v>
      </c>
      <c r="G57" s="251">
        <f>Zał.1_WPF_bazowy!G52</f>
        <v>0.22370000000000001</v>
      </c>
      <c r="H57" s="168">
        <f>+IF(H10&lt;&gt;0,(H23+H27+H40-H41)/H10,"-")</f>
        <v>7.6075918598556891E-2</v>
      </c>
      <c r="I57" s="166">
        <f>+IF(I10&lt;&gt;0,(I23+I27+I40-I41)/I10,"-")</f>
        <v>0.12603480629848979</v>
      </c>
      <c r="J57" s="167">
        <f t="shared" ref="J57:AL57" si="13">+IF(J10&lt;&gt;0,(J23+J27+J40-J41)/J10,"-")</f>
        <v>2.7160032441918024E-2</v>
      </c>
      <c r="K57" s="167">
        <f t="shared" si="13"/>
        <v>4.2329545454545453E-2</v>
      </c>
      <c r="L57" s="167">
        <f t="shared" si="13"/>
        <v>5.5729089748912587E-2</v>
      </c>
      <c r="M57" s="167">
        <f t="shared" si="13"/>
        <v>6.3441516380550178E-2</v>
      </c>
      <c r="N57" s="167">
        <f t="shared" si="13"/>
        <v>6.0446298586273775E-2</v>
      </c>
      <c r="O57" s="167">
        <f t="shared" si="13"/>
        <v>8.9776899343525743E-2</v>
      </c>
      <c r="P57" s="167">
        <f t="shared" si="13"/>
        <v>9.1079179815237402E-2</v>
      </c>
      <c r="Q57" s="167">
        <f t="shared" si="13"/>
        <v>7.9274721512034907E-2</v>
      </c>
      <c r="R57" s="167">
        <f t="shared" si="13"/>
        <v>7.9909963091930672E-2</v>
      </c>
      <c r="S57" s="167">
        <f t="shared" si="13"/>
        <v>8.2488857913746175E-2</v>
      </c>
      <c r="T57" s="167">
        <f t="shared" si="13"/>
        <v>7.7659504387549039E-2</v>
      </c>
      <c r="U57" s="167">
        <f t="shared" si="13"/>
        <v>3.5620672814502E-2</v>
      </c>
      <c r="V57" s="167" t="str">
        <f t="shared" si="13"/>
        <v>-</v>
      </c>
      <c r="W57" s="167" t="str">
        <f t="shared" si="13"/>
        <v>-</v>
      </c>
      <c r="X57" s="167" t="str">
        <f t="shared" si="13"/>
        <v>-</v>
      </c>
      <c r="Y57" s="167" t="str">
        <f t="shared" si="13"/>
        <v>-</v>
      </c>
      <c r="Z57" s="167" t="str">
        <f t="shared" si="13"/>
        <v>-</v>
      </c>
      <c r="AA57" s="167" t="str">
        <f t="shared" si="13"/>
        <v>-</v>
      </c>
      <c r="AB57" s="167" t="str">
        <f t="shared" si="13"/>
        <v>-</v>
      </c>
      <c r="AC57" s="167" t="str">
        <f t="shared" si="13"/>
        <v>-</v>
      </c>
      <c r="AD57" s="167" t="str">
        <f t="shared" si="13"/>
        <v>-</v>
      </c>
      <c r="AE57" s="167" t="str">
        <f t="shared" si="13"/>
        <v>-</v>
      </c>
      <c r="AF57" s="167" t="str">
        <f t="shared" si="13"/>
        <v>-</v>
      </c>
      <c r="AG57" s="167" t="str">
        <f t="shared" si="13"/>
        <v>-</v>
      </c>
      <c r="AH57" s="167" t="str">
        <f t="shared" si="13"/>
        <v>-</v>
      </c>
      <c r="AI57" s="167" t="str">
        <f t="shared" si="13"/>
        <v>-</v>
      </c>
      <c r="AJ57" s="167" t="str">
        <f t="shared" si="13"/>
        <v>-</v>
      </c>
      <c r="AK57" s="167" t="str">
        <f t="shared" si="13"/>
        <v>-</v>
      </c>
      <c r="AL57" s="168" t="str">
        <f t="shared" si="13"/>
        <v>-</v>
      </c>
    </row>
    <row r="58" spans="1:38" ht="24" outlineLevel="2">
      <c r="A58" s="375" t="s">
        <v>31</v>
      </c>
      <c r="B58" s="48" t="s">
        <v>185</v>
      </c>
      <c r="C58" s="257"/>
      <c r="D58" s="355" t="s">
        <v>238</v>
      </c>
      <c r="E58" s="246">
        <f>Zał.1_WPF_bazowy!E53</f>
        <v>0</v>
      </c>
      <c r="F58" s="247">
        <f>Zał.1_WPF_bazowy!F53</f>
        <v>0</v>
      </c>
      <c r="G58" s="247">
        <f>Zał.1_WPF_bazowy!G53</f>
        <v>0</v>
      </c>
      <c r="H58" s="309">
        <f>Zał.1_WPF_bazowy!H53</f>
        <v>0</v>
      </c>
      <c r="I58" s="310">
        <f>+Zał.1_WPF_bazowy!I53</f>
        <v>0</v>
      </c>
      <c r="J58" s="311">
        <f>+Zał.1_WPF_bazowy!J53</f>
        <v>0</v>
      </c>
      <c r="K58" s="311">
        <f>+Zał.1_WPF_bazowy!K53</f>
        <v>0</v>
      </c>
      <c r="L58" s="311">
        <f>+Zał.1_WPF_bazowy!L53</f>
        <v>0</v>
      </c>
      <c r="M58" s="311">
        <f>+Zał.1_WPF_bazowy!M53</f>
        <v>0</v>
      </c>
      <c r="N58" s="311">
        <f>+Zał.1_WPF_bazowy!N53</f>
        <v>0</v>
      </c>
      <c r="O58" s="311">
        <f>+Zał.1_WPF_bazowy!O53</f>
        <v>0</v>
      </c>
      <c r="P58" s="311">
        <f>+Zał.1_WPF_bazowy!P53</f>
        <v>0</v>
      </c>
      <c r="Q58" s="311">
        <f>+Zał.1_WPF_bazowy!Q53</f>
        <v>0</v>
      </c>
      <c r="R58" s="311">
        <f>+Zał.1_WPF_bazowy!R53</f>
        <v>0</v>
      </c>
      <c r="S58" s="311">
        <f>+Zał.1_WPF_bazowy!S53</f>
        <v>0</v>
      </c>
      <c r="T58" s="311">
        <f>+Zał.1_WPF_bazowy!T53</f>
        <v>0</v>
      </c>
      <c r="U58" s="311">
        <f>+Zał.1_WPF_bazowy!U53</f>
        <v>0</v>
      </c>
      <c r="V58" s="311">
        <f>+Zał.1_WPF_bazowy!V53</f>
        <v>0</v>
      </c>
      <c r="W58" s="311">
        <f>+Zał.1_WPF_bazowy!W53</f>
        <v>0</v>
      </c>
      <c r="X58" s="311">
        <f>+Zał.1_WPF_bazowy!X53</f>
        <v>0</v>
      </c>
      <c r="Y58" s="311">
        <f>+Zał.1_WPF_bazowy!Y53</f>
        <v>0</v>
      </c>
      <c r="Z58" s="311">
        <f>+Zał.1_WPF_bazowy!Z53</f>
        <v>0</v>
      </c>
      <c r="AA58" s="311">
        <f>+Zał.1_WPF_bazowy!AA53</f>
        <v>0</v>
      </c>
      <c r="AB58" s="311">
        <f>+Zał.1_WPF_bazowy!AB53</f>
        <v>0</v>
      </c>
      <c r="AC58" s="311">
        <f>+Zał.1_WPF_bazowy!AC53</f>
        <v>0</v>
      </c>
      <c r="AD58" s="311">
        <f>+Zał.1_WPF_bazowy!AD53</f>
        <v>0</v>
      </c>
      <c r="AE58" s="311">
        <f>+Zał.1_WPF_bazowy!AE53</f>
        <v>0</v>
      </c>
      <c r="AF58" s="311">
        <f>+Zał.1_WPF_bazowy!AF53</f>
        <v>0</v>
      </c>
      <c r="AG58" s="311">
        <f>+Zał.1_WPF_bazowy!AG53</f>
        <v>0</v>
      </c>
      <c r="AH58" s="311">
        <f>+Zał.1_WPF_bazowy!AH53</f>
        <v>0</v>
      </c>
      <c r="AI58" s="311">
        <f>+Zał.1_WPF_bazowy!AI53</f>
        <v>0</v>
      </c>
      <c r="AJ58" s="311">
        <f>+Zał.1_WPF_bazowy!AJ53</f>
        <v>0</v>
      </c>
      <c r="AK58" s="311">
        <f>+Zał.1_WPF_bazowy!AK53</f>
        <v>0</v>
      </c>
      <c r="AL58" s="312">
        <f>+Zał.1_WPF_bazowy!AL53</f>
        <v>0</v>
      </c>
    </row>
    <row r="59" spans="1:38" ht="36" outlineLevel="2">
      <c r="A59" s="375" t="s">
        <v>31</v>
      </c>
      <c r="B59" s="48" t="s">
        <v>186</v>
      </c>
      <c r="C59" s="257" t="s">
        <v>415</v>
      </c>
      <c r="D59" s="355" t="s">
        <v>239</v>
      </c>
      <c r="E59" s="250">
        <f>Zał.1_WPF_bazowy!E54</f>
        <v>2.2700000000000001E-2</v>
      </c>
      <c r="F59" s="251">
        <f>Zał.1_WPF_bazowy!F54</f>
        <v>0.21060000000000001</v>
      </c>
      <c r="G59" s="251">
        <f>Zał.1_WPF_bazowy!G54</f>
        <v>0.22370000000000001</v>
      </c>
      <c r="H59" s="168">
        <f>+IF(H10&lt;&gt;0,(H23+H27+H40+H58-H41)/H10,"-")</f>
        <v>7.6075918598556891E-2</v>
      </c>
      <c r="I59" s="166">
        <f>+IF(I10&lt;&gt;0,(I23+I27+I40+I58-I41)/I10,"-")</f>
        <v>0.12603480629848979</v>
      </c>
      <c r="J59" s="167">
        <f t="shared" ref="J59:AL59" si="14">+IF(J10&lt;&gt;0,(J23+J27+J40+J58-J41)/J10,"-")</f>
        <v>2.7160032441918024E-2</v>
      </c>
      <c r="K59" s="167">
        <f t="shared" si="14"/>
        <v>4.2329545454545453E-2</v>
      </c>
      <c r="L59" s="167">
        <f t="shared" si="14"/>
        <v>5.5729089748912587E-2</v>
      </c>
      <c r="M59" s="167">
        <f t="shared" si="14"/>
        <v>6.3441516380550178E-2</v>
      </c>
      <c r="N59" s="167">
        <f t="shared" si="14"/>
        <v>6.0446298586273775E-2</v>
      </c>
      <c r="O59" s="167">
        <f t="shared" si="14"/>
        <v>8.9776899343525743E-2</v>
      </c>
      <c r="P59" s="167">
        <f t="shared" si="14"/>
        <v>9.1079179815237402E-2</v>
      </c>
      <c r="Q59" s="167">
        <f t="shared" si="14"/>
        <v>7.9274721512034907E-2</v>
      </c>
      <c r="R59" s="167">
        <f t="shared" si="14"/>
        <v>7.9909963091930672E-2</v>
      </c>
      <c r="S59" s="167">
        <f t="shared" si="14"/>
        <v>8.2488857913746175E-2</v>
      </c>
      <c r="T59" s="167">
        <f t="shared" si="14"/>
        <v>7.7659504387549039E-2</v>
      </c>
      <c r="U59" s="167">
        <f t="shared" si="14"/>
        <v>3.5620672814502E-2</v>
      </c>
      <c r="V59" s="167" t="str">
        <f t="shared" si="14"/>
        <v>-</v>
      </c>
      <c r="W59" s="167" t="str">
        <f t="shared" si="14"/>
        <v>-</v>
      </c>
      <c r="X59" s="167" t="str">
        <f t="shared" si="14"/>
        <v>-</v>
      </c>
      <c r="Y59" s="167" t="str">
        <f t="shared" si="14"/>
        <v>-</v>
      </c>
      <c r="Z59" s="167" t="str">
        <f t="shared" si="14"/>
        <v>-</v>
      </c>
      <c r="AA59" s="167" t="str">
        <f t="shared" si="14"/>
        <v>-</v>
      </c>
      <c r="AB59" s="167" t="str">
        <f t="shared" si="14"/>
        <v>-</v>
      </c>
      <c r="AC59" s="167" t="str">
        <f t="shared" si="14"/>
        <v>-</v>
      </c>
      <c r="AD59" s="167" t="str">
        <f t="shared" si="14"/>
        <v>-</v>
      </c>
      <c r="AE59" s="167" t="str">
        <f t="shared" si="14"/>
        <v>-</v>
      </c>
      <c r="AF59" s="167" t="str">
        <f t="shared" si="14"/>
        <v>-</v>
      </c>
      <c r="AG59" s="167" t="str">
        <f t="shared" si="14"/>
        <v>-</v>
      </c>
      <c r="AH59" s="167" t="str">
        <f t="shared" si="14"/>
        <v>-</v>
      </c>
      <c r="AI59" s="167" t="str">
        <f t="shared" si="14"/>
        <v>-</v>
      </c>
      <c r="AJ59" s="167" t="str">
        <f t="shared" si="14"/>
        <v>-</v>
      </c>
      <c r="AK59" s="167" t="str">
        <f t="shared" si="14"/>
        <v>-</v>
      </c>
      <c r="AL59" s="168" t="str">
        <f t="shared" si="14"/>
        <v>-</v>
      </c>
    </row>
    <row r="60" spans="1:38" outlineLevel="3">
      <c r="A60" s="375" t="s">
        <v>31</v>
      </c>
      <c r="B60" s="150" t="s">
        <v>103</v>
      </c>
      <c r="C60" s="257" t="s">
        <v>416</v>
      </c>
      <c r="D60" s="370" t="s">
        <v>444</v>
      </c>
      <c r="E60" s="302">
        <f>+IF(E10&lt;&gt;0,(E11+E19-E22)/E10,0)</f>
        <v>-4.6592826808022118E-2</v>
      </c>
      <c r="F60" s="167">
        <f>+IF(F10&lt;&gt;0,(F11+F19-F22)/F10,0)</f>
        <v>8.657875168781512E-3</v>
      </c>
      <c r="G60" s="167">
        <f>+IF(G10&lt;&gt;0,(G11+G19-G22)/G10,0)</f>
        <v>9.0846420289276992E-3</v>
      </c>
      <c r="H60" s="168">
        <f>+IF(H10&lt;&gt;0,(H11+H19-H22)/H10,0)</f>
        <v>3.8307785355365713E-2</v>
      </c>
      <c r="I60" s="166">
        <f>+IF(I10&lt;&gt;0,(I11+I19-I22)/I10,"-")</f>
        <v>6.3228424605945938E-2</v>
      </c>
      <c r="J60" s="167">
        <f t="shared" ref="J60:AL60" si="15">+IF(J10&lt;&gt;0,(J11+J19-J22)/J10,"-")</f>
        <v>4.0839651909123122E-2</v>
      </c>
      <c r="K60" s="167">
        <f t="shared" si="15"/>
        <v>7.5359488636363631E-2</v>
      </c>
      <c r="L60" s="167">
        <f t="shared" si="15"/>
        <v>8.9022595359438697E-2</v>
      </c>
      <c r="M60" s="167">
        <f t="shared" si="15"/>
        <v>9.3398852646193894E-2</v>
      </c>
      <c r="N60" s="167">
        <f t="shared" si="15"/>
        <v>9.7282952358988248E-2</v>
      </c>
      <c r="O60" s="167">
        <f t="shared" si="15"/>
        <v>9.0943945754932615E-2</v>
      </c>
      <c r="P60" s="167">
        <f t="shared" si="15"/>
        <v>8.2288257788213637E-2</v>
      </c>
      <c r="Q60" s="167">
        <f t="shared" si="15"/>
        <v>0.12376570937060777</v>
      </c>
      <c r="R60" s="167">
        <f t="shared" si="15"/>
        <v>0.12748603757744695</v>
      </c>
      <c r="S60" s="167">
        <f t="shared" si="15"/>
        <v>0.13138574849795245</v>
      </c>
      <c r="T60" s="167">
        <f t="shared" si="15"/>
        <v>0.13553476495624567</v>
      </c>
      <c r="U60" s="167">
        <f t="shared" si="15"/>
        <v>0.13958017754029131</v>
      </c>
      <c r="V60" s="167" t="str">
        <f t="shared" si="15"/>
        <v>-</v>
      </c>
      <c r="W60" s="167" t="str">
        <f t="shared" si="15"/>
        <v>-</v>
      </c>
      <c r="X60" s="167" t="str">
        <f t="shared" si="15"/>
        <v>-</v>
      </c>
      <c r="Y60" s="167" t="str">
        <f t="shared" si="15"/>
        <v>-</v>
      </c>
      <c r="Z60" s="167" t="str">
        <f t="shared" si="15"/>
        <v>-</v>
      </c>
      <c r="AA60" s="167" t="str">
        <f t="shared" si="15"/>
        <v>-</v>
      </c>
      <c r="AB60" s="167" t="str">
        <f t="shared" si="15"/>
        <v>-</v>
      </c>
      <c r="AC60" s="167" t="str">
        <f t="shared" si="15"/>
        <v>-</v>
      </c>
      <c r="AD60" s="167" t="str">
        <f t="shared" si="15"/>
        <v>-</v>
      </c>
      <c r="AE60" s="167" t="str">
        <f t="shared" si="15"/>
        <v>-</v>
      </c>
      <c r="AF60" s="167" t="str">
        <f t="shared" si="15"/>
        <v>-</v>
      </c>
      <c r="AG60" s="167" t="str">
        <f t="shared" si="15"/>
        <v>-</v>
      </c>
      <c r="AH60" s="167" t="str">
        <f t="shared" si="15"/>
        <v>-</v>
      </c>
      <c r="AI60" s="167" t="str">
        <f t="shared" si="15"/>
        <v>-</v>
      </c>
      <c r="AJ60" s="167" t="str">
        <f t="shared" si="15"/>
        <v>-</v>
      </c>
      <c r="AK60" s="167" t="str">
        <f t="shared" si="15"/>
        <v>-</v>
      </c>
      <c r="AL60" s="168" t="str">
        <f t="shared" si="15"/>
        <v>-</v>
      </c>
    </row>
    <row r="61" spans="1:38" ht="36" outlineLevel="2">
      <c r="A61" s="375" t="s">
        <v>31</v>
      </c>
      <c r="B61" s="48" t="s">
        <v>187</v>
      </c>
      <c r="C61" s="257" t="s">
        <v>417</v>
      </c>
      <c r="D61" s="355" t="s">
        <v>458</v>
      </c>
      <c r="E61" s="419" t="str">
        <f>Zał.1_WPF_bazowy!E56</f>
        <v>x</v>
      </c>
      <c r="F61" s="420" t="str">
        <f>Zał.1_WPF_bazowy!F56</f>
        <v>x</v>
      </c>
      <c r="G61" s="420" t="str">
        <f>Zał.1_WPF_bazowy!G56</f>
        <v>x</v>
      </c>
      <c r="H61" s="421" t="str">
        <f>Zał.1_WPF_bazowy!H56</f>
        <v>x</v>
      </c>
      <c r="I61" s="166">
        <f>+IF(I10&lt;&gt;0,(G60+F60+E60)/3,"-")</f>
        <v>-9.6167698701043035E-3</v>
      </c>
      <c r="J61" s="167">
        <f>+IF(J10&lt;&gt;0,(I60+G60+F60)/3,"-")</f>
        <v>2.6990313934551716E-2</v>
      </c>
      <c r="K61" s="167">
        <f>+IF(K10&lt;&gt;0,(J60+I60+G60)/3,"-")</f>
        <v>3.7717572847998919E-2</v>
      </c>
      <c r="L61" s="167">
        <f>+IF(L10&lt;&gt;0,(K60+J60+I60)/3,"-")</f>
        <v>5.9809188383810892E-2</v>
      </c>
      <c r="M61" s="167">
        <f t="shared" ref="M61:AL61" si="16">+IF(M10&lt;&gt;0,(L60+K60+J60)/3,"-")</f>
        <v>6.8407245301641814E-2</v>
      </c>
      <c r="N61" s="167">
        <f t="shared" si="16"/>
        <v>8.5926978880665403E-2</v>
      </c>
      <c r="O61" s="167">
        <f t="shared" si="16"/>
        <v>9.3234800121540284E-2</v>
      </c>
      <c r="P61" s="167">
        <f t="shared" si="16"/>
        <v>9.3875250253371581E-2</v>
      </c>
      <c r="Q61" s="167">
        <f t="shared" si="16"/>
        <v>9.0171718634044828E-2</v>
      </c>
      <c r="R61" s="167">
        <f t="shared" si="16"/>
        <v>9.8999304304584659E-2</v>
      </c>
      <c r="S61" s="167">
        <f t="shared" si="16"/>
        <v>0.11118000157875613</v>
      </c>
      <c r="T61" s="167">
        <f t="shared" si="16"/>
        <v>0.12754583181533571</v>
      </c>
      <c r="U61" s="167">
        <f t="shared" si="16"/>
        <v>0.13146885034388167</v>
      </c>
      <c r="V61" s="167" t="str">
        <f t="shared" si="16"/>
        <v>-</v>
      </c>
      <c r="W61" s="167" t="str">
        <f t="shared" si="16"/>
        <v>-</v>
      </c>
      <c r="X61" s="167" t="str">
        <f t="shared" si="16"/>
        <v>-</v>
      </c>
      <c r="Y61" s="167" t="str">
        <f t="shared" si="16"/>
        <v>-</v>
      </c>
      <c r="Z61" s="167" t="str">
        <f t="shared" si="16"/>
        <v>-</v>
      </c>
      <c r="AA61" s="167" t="str">
        <f t="shared" si="16"/>
        <v>-</v>
      </c>
      <c r="AB61" s="167" t="str">
        <f t="shared" si="16"/>
        <v>-</v>
      </c>
      <c r="AC61" s="167" t="str">
        <f t="shared" si="16"/>
        <v>-</v>
      </c>
      <c r="AD61" s="167" t="str">
        <f t="shared" si="16"/>
        <v>-</v>
      </c>
      <c r="AE61" s="167" t="str">
        <f t="shared" si="16"/>
        <v>-</v>
      </c>
      <c r="AF61" s="167" t="str">
        <f t="shared" si="16"/>
        <v>-</v>
      </c>
      <c r="AG61" s="167" t="str">
        <f t="shared" si="16"/>
        <v>-</v>
      </c>
      <c r="AH61" s="167" t="str">
        <f t="shared" si="16"/>
        <v>-</v>
      </c>
      <c r="AI61" s="167" t="str">
        <f t="shared" si="16"/>
        <v>-</v>
      </c>
      <c r="AJ61" s="167" t="str">
        <f t="shared" si="16"/>
        <v>-</v>
      </c>
      <c r="AK61" s="167" t="str">
        <f t="shared" si="16"/>
        <v>-</v>
      </c>
      <c r="AL61" s="168" t="str">
        <f t="shared" si="16"/>
        <v>-</v>
      </c>
    </row>
    <row r="62" spans="1:38" ht="36" outlineLevel="2">
      <c r="A62" s="375" t="s">
        <v>31</v>
      </c>
      <c r="B62" s="48" t="s">
        <v>106</v>
      </c>
      <c r="C62" s="257" t="s">
        <v>417</v>
      </c>
      <c r="D62" s="356" t="s">
        <v>459</v>
      </c>
      <c r="E62" s="419" t="str">
        <f>Zał.1_WPF_bazowy!E57</f>
        <v>x</v>
      </c>
      <c r="F62" s="420" t="str">
        <f>Zał.1_WPF_bazowy!F57</f>
        <v>x</v>
      </c>
      <c r="G62" s="420" t="str">
        <f>Zał.1_WPF_bazowy!G57</f>
        <v>x</v>
      </c>
      <c r="H62" s="421" t="str">
        <f>Zał.1_WPF_bazowy!H57</f>
        <v>x</v>
      </c>
      <c r="I62" s="166">
        <f>+IF(I10&lt;&gt;0,(H60+F60+E60)/3,"-")</f>
        <v>1.2427790537503555E-4</v>
      </c>
      <c r="J62" s="167">
        <f>+IF(J10&lt;&gt;0,(I60+H60+F60)/3,"-")</f>
        <v>3.6731361710031059E-2</v>
      </c>
      <c r="K62" s="167">
        <f>+IF(K10&lt;&gt;0,(J60+I60+H60)/3,"-")</f>
        <v>4.7458620623478255E-2</v>
      </c>
      <c r="L62" s="167">
        <f>+IF(L10&lt;&gt;0,(K60+J60+I60)/3,"-")</f>
        <v>5.9809188383810892E-2</v>
      </c>
      <c r="M62" s="167">
        <f t="shared" ref="M62:AL62" si="17">+IF(M10&lt;&gt;0,(L60+K60+J60)/3,"-")</f>
        <v>6.8407245301641814E-2</v>
      </c>
      <c r="N62" s="167">
        <f t="shared" si="17"/>
        <v>8.5926978880665403E-2</v>
      </c>
      <c r="O62" s="167">
        <f t="shared" si="17"/>
        <v>9.3234800121540284E-2</v>
      </c>
      <c r="P62" s="167">
        <f t="shared" si="17"/>
        <v>9.3875250253371581E-2</v>
      </c>
      <c r="Q62" s="167">
        <f t="shared" si="17"/>
        <v>9.0171718634044828E-2</v>
      </c>
      <c r="R62" s="167">
        <f t="shared" si="17"/>
        <v>9.8999304304584659E-2</v>
      </c>
      <c r="S62" s="167">
        <f t="shared" si="17"/>
        <v>0.11118000157875613</v>
      </c>
      <c r="T62" s="167">
        <f t="shared" si="17"/>
        <v>0.12754583181533571</v>
      </c>
      <c r="U62" s="167">
        <f t="shared" si="17"/>
        <v>0.13146885034388167</v>
      </c>
      <c r="V62" s="167" t="str">
        <f t="shared" si="17"/>
        <v>-</v>
      </c>
      <c r="W62" s="167" t="str">
        <f t="shared" si="17"/>
        <v>-</v>
      </c>
      <c r="X62" s="167" t="str">
        <f t="shared" si="17"/>
        <v>-</v>
      </c>
      <c r="Y62" s="167" t="str">
        <f t="shared" si="17"/>
        <v>-</v>
      </c>
      <c r="Z62" s="167" t="str">
        <f t="shared" si="17"/>
        <v>-</v>
      </c>
      <c r="AA62" s="167" t="str">
        <f t="shared" si="17"/>
        <v>-</v>
      </c>
      <c r="AB62" s="167" t="str">
        <f t="shared" si="17"/>
        <v>-</v>
      </c>
      <c r="AC62" s="167" t="str">
        <f t="shared" si="17"/>
        <v>-</v>
      </c>
      <c r="AD62" s="167" t="str">
        <f t="shared" si="17"/>
        <v>-</v>
      </c>
      <c r="AE62" s="167" t="str">
        <f t="shared" si="17"/>
        <v>-</v>
      </c>
      <c r="AF62" s="167" t="str">
        <f t="shared" si="17"/>
        <v>-</v>
      </c>
      <c r="AG62" s="167" t="str">
        <f t="shared" si="17"/>
        <v>-</v>
      </c>
      <c r="AH62" s="167" t="str">
        <f t="shared" si="17"/>
        <v>-</v>
      </c>
      <c r="AI62" s="167" t="str">
        <f t="shared" si="17"/>
        <v>-</v>
      </c>
      <c r="AJ62" s="167" t="str">
        <f t="shared" si="17"/>
        <v>-</v>
      </c>
      <c r="AK62" s="167" t="str">
        <f t="shared" si="17"/>
        <v>-</v>
      </c>
      <c r="AL62" s="168" t="str">
        <f t="shared" si="17"/>
        <v>-</v>
      </c>
    </row>
    <row r="63" spans="1:38" ht="48" outlineLevel="2">
      <c r="A63" s="375" t="s">
        <v>31</v>
      </c>
      <c r="B63" s="48" t="s">
        <v>188</v>
      </c>
      <c r="C63" s="257" t="s">
        <v>418</v>
      </c>
      <c r="D63" s="355" t="s">
        <v>241</v>
      </c>
      <c r="E63" s="419" t="str">
        <f>Zał.1_WPF_bazowy!E58</f>
        <v>x</v>
      </c>
      <c r="F63" s="420" t="str">
        <f>Zał.1_WPF_bazowy!F58</f>
        <v>x</v>
      </c>
      <c r="G63" s="420" t="str">
        <f>Zał.1_WPF_bazowy!G58</f>
        <v>x</v>
      </c>
      <c r="H63" s="421" t="str">
        <f>Zał.1_WPF_bazowy!H58</f>
        <v>x</v>
      </c>
      <c r="I63" s="172" t="str">
        <f t="shared" ref="I63:AL63" si="18">+IF(I10&lt;&gt;0,IF(I61&gt;=I59,"Spełniona","Nie spełniona"),"-")</f>
        <v>Nie spełniona</v>
      </c>
      <c r="J63" s="172" t="str">
        <f t="shared" si="18"/>
        <v>Nie spełniona</v>
      </c>
      <c r="K63" s="172" t="str">
        <f t="shared" si="18"/>
        <v>Nie spełniona</v>
      </c>
      <c r="L63" s="172" t="str">
        <f t="shared" si="18"/>
        <v>Spełniona</v>
      </c>
      <c r="M63" s="172" t="str">
        <f t="shared" si="18"/>
        <v>Spełniona</v>
      </c>
      <c r="N63" s="172" t="str">
        <f t="shared" si="18"/>
        <v>Spełniona</v>
      </c>
      <c r="O63" s="172" t="str">
        <f t="shared" si="18"/>
        <v>Spełniona</v>
      </c>
      <c r="P63" s="172" t="str">
        <f t="shared" si="18"/>
        <v>Spełniona</v>
      </c>
      <c r="Q63" s="172" t="str">
        <f t="shared" si="18"/>
        <v>Spełniona</v>
      </c>
      <c r="R63" s="172" t="str">
        <f t="shared" si="18"/>
        <v>Spełniona</v>
      </c>
      <c r="S63" s="172" t="str">
        <f t="shared" si="18"/>
        <v>Spełniona</v>
      </c>
      <c r="T63" s="172" t="str">
        <f t="shared" si="18"/>
        <v>Spełniona</v>
      </c>
      <c r="U63" s="172" t="str">
        <f t="shared" si="18"/>
        <v>Spełniona</v>
      </c>
      <c r="V63" s="172" t="str">
        <f t="shared" si="18"/>
        <v>-</v>
      </c>
      <c r="W63" s="172" t="str">
        <f t="shared" si="18"/>
        <v>-</v>
      </c>
      <c r="X63" s="172" t="str">
        <f t="shared" si="18"/>
        <v>-</v>
      </c>
      <c r="Y63" s="172" t="str">
        <f t="shared" si="18"/>
        <v>-</v>
      </c>
      <c r="Z63" s="172" t="str">
        <f t="shared" si="18"/>
        <v>-</v>
      </c>
      <c r="AA63" s="172" t="str">
        <f t="shared" si="18"/>
        <v>-</v>
      </c>
      <c r="AB63" s="172" t="str">
        <f t="shared" si="18"/>
        <v>-</v>
      </c>
      <c r="AC63" s="172" t="str">
        <f t="shared" si="18"/>
        <v>-</v>
      </c>
      <c r="AD63" s="172" t="str">
        <f t="shared" si="18"/>
        <v>-</v>
      </c>
      <c r="AE63" s="172" t="str">
        <f t="shared" si="18"/>
        <v>-</v>
      </c>
      <c r="AF63" s="172" t="str">
        <f t="shared" si="18"/>
        <v>-</v>
      </c>
      <c r="AG63" s="172" t="str">
        <f t="shared" si="18"/>
        <v>-</v>
      </c>
      <c r="AH63" s="172" t="str">
        <f t="shared" si="18"/>
        <v>-</v>
      </c>
      <c r="AI63" s="172" t="str">
        <f t="shared" si="18"/>
        <v>-</v>
      </c>
      <c r="AJ63" s="172" t="str">
        <f t="shared" si="18"/>
        <v>-</v>
      </c>
      <c r="AK63" s="172" t="str">
        <f t="shared" si="18"/>
        <v>-</v>
      </c>
      <c r="AL63" s="173" t="str">
        <f t="shared" si="18"/>
        <v>-</v>
      </c>
    </row>
    <row r="64" spans="1:38" ht="48" outlineLevel="2">
      <c r="A64" s="375" t="s">
        <v>31</v>
      </c>
      <c r="B64" s="48" t="s">
        <v>109</v>
      </c>
      <c r="C64" s="257" t="s">
        <v>419</v>
      </c>
      <c r="D64" s="356" t="s">
        <v>240</v>
      </c>
      <c r="E64" s="419" t="str">
        <f>Zał.1_WPF_bazowy!E59</f>
        <v>x</v>
      </c>
      <c r="F64" s="420" t="str">
        <f>Zał.1_WPF_bazowy!F59</f>
        <v>x</v>
      </c>
      <c r="G64" s="420" t="str">
        <f>Zał.1_WPF_bazowy!G59</f>
        <v>x</v>
      </c>
      <c r="H64" s="421" t="str">
        <f>Zał.1_WPF_bazowy!H59</f>
        <v>x</v>
      </c>
      <c r="I64" s="172" t="str">
        <f t="shared" ref="I64:AL64" si="19">+IF(I10&lt;&gt;0,IF(I62&gt;=I59,"Spełniona","Nie spełniona"),"-")</f>
        <v>Nie spełniona</v>
      </c>
      <c r="J64" s="172" t="str">
        <f t="shared" si="19"/>
        <v>Spełniona</v>
      </c>
      <c r="K64" s="172" t="str">
        <f t="shared" si="19"/>
        <v>Spełniona</v>
      </c>
      <c r="L64" s="172" t="str">
        <f t="shared" si="19"/>
        <v>Spełniona</v>
      </c>
      <c r="M64" s="172" t="str">
        <f t="shared" si="19"/>
        <v>Spełniona</v>
      </c>
      <c r="N64" s="172" t="str">
        <f t="shared" si="19"/>
        <v>Spełniona</v>
      </c>
      <c r="O64" s="172" t="str">
        <f t="shared" si="19"/>
        <v>Spełniona</v>
      </c>
      <c r="P64" s="172" t="str">
        <f t="shared" si="19"/>
        <v>Spełniona</v>
      </c>
      <c r="Q64" s="172" t="str">
        <f t="shared" si="19"/>
        <v>Spełniona</v>
      </c>
      <c r="R64" s="172" t="str">
        <f t="shared" si="19"/>
        <v>Spełniona</v>
      </c>
      <c r="S64" s="172" t="str">
        <f t="shared" si="19"/>
        <v>Spełniona</v>
      </c>
      <c r="T64" s="172" t="str">
        <f t="shared" si="19"/>
        <v>Spełniona</v>
      </c>
      <c r="U64" s="172" t="str">
        <f t="shared" si="19"/>
        <v>Spełniona</v>
      </c>
      <c r="V64" s="172" t="str">
        <f t="shared" si="19"/>
        <v>-</v>
      </c>
      <c r="W64" s="172" t="str">
        <f t="shared" si="19"/>
        <v>-</v>
      </c>
      <c r="X64" s="172" t="str">
        <f t="shared" si="19"/>
        <v>-</v>
      </c>
      <c r="Y64" s="172" t="str">
        <f t="shared" si="19"/>
        <v>-</v>
      </c>
      <c r="Z64" s="172" t="str">
        <f t="shared" si="19"/>
        <v>-</v>
      </c>
      <c r="AA64" s="172" t="str">
        <f t="shared" si="19"/>
        <v>-</v>
      </c>
      <c r="AB64" s="172" t="str">
        <f t="shared" si="19"/>
        <v>-</v>
      </c>
      <c r="AC64" s="172" t="str">
        <f t="shared" si="19"/>
        <v>-</v>
      </c>
      <c r="AD64" s="172" t="str">
        <f t="shared" si="19"/>
        <v>-</v>
      </c>
      <c r="AE64" s="172" t="str">
        <f t="shared" si="19"/>
        <v>-</v>
      </c>
      <c r="AF64" s="172" t="str">
        <f t="shared" si="19"/>
        <v>-</v>
      </c>
      <c r="AG64" s="172" t="str">
        <f t="shared" si="19"/>
        <v>-</v>
      </c>
      <c r="AH64" s="172" t="str">
        <f t="shared" si="19"/>
        <v>-</v>
      </c>
      <c r="AI64" s="172" t="str">
        <f t="shared" si="19"/>
        <v>-</v>
      </c>
      <c r="AJ64" s="172" t="str">
        <f t="shared" si="19"/>
        <v>-</v>
      </c>
      <c r="AK64" s="172" t="str">
        <f t="shared" si="19"/>
        <v>-</v>
      </c>
      <c r="AL64" s="173" t="str">
        <f t="shared" si="19"/>
        <v>-</v>
      </c>
    </row>
    <row r="65" spans="1:253" s="149" customFormat="1" ht="15" outlineLevel="1">
      <c r="A65" s="375"/>
      <c r="B65" s="47">
        <v>10</v>
      </c>
      <c r="C65" s="256"/>
      <c r="D65" s="353" t="s">
        <v>242</v>
      </c>
      <c r="E65" s="244">
        <f>Zał.1_WPF_bazowy!E60</f>
        <v>0</v>
      </c>
      <c r="F65" s="245">
        <f>Zał.1_WPF_bazowy!F60</f>
        <v>0</v>
      </c>
      <c r="G65" s="245">
        <f>Zał.1_WPF_bazowy!G60</f>
        <v>0</v>
      </c>
      <c r="H65" s="314">
        <f>Zał.1_WPF_bazowy!H60</f>
        <v>0</v>
      </c>
      <c r="I65" s="318">
        <f>+Zał.1_WPF_bazowy!I60</f>
        <v>0</v>
      </c>
      <c r="J65" s="319">
        <f>+Zał.1_WPF_bazowy!J60</f>
        <v>1057000</v>
      </c>
      <c r="K65" s="319">
        <f>+Zał.1_WPF_bazowy!K60</f>
        <v>100000</v>
      </c>
      <c r="L65" s="319">
        <f>+Zał.1_WPF_bazowy!L60</f>
        <v>400000</v>
      </c>
      <c r="M65" s="319">
        <f>+Zał.1_WPF_bazowy!M60</f>
        <v>600000</v>
      </c>
      <c r="N65" s="319">
        <f>+Zał.1_WPF_bazowy!N60</f>
        <v>600000</v>
      </c>
      <c r="O65" s="319">
        <f>+Zał.1_WPF_bazowy!O60</f>
        <v>1200000</v>
      </c>
      <c r="P65" s="319">
        <f>+Zał.1_WPF_bazowy!P60</f>
        <v>1300000</v>
      </c>
      <c r="Q65" s="319">
        <f>+Zał.1_WPF_bazowy!Q60</f>
        <v>1200000</v>
      </c>
      <c r="R65" s="319">
        <f>+Zał.1_WPF_bazowy!R60</f>
        <v>1330000</v>
      </c>
      <c r="S65" s="319">
        <f>+Zał.1_WPF_bazowy!S60</f>
        <v>1510000</v>
      </c>
      <c r="T65" s="319">
        <f>+Zał.1_WPF_bazowy!T60</f>
        <v>1548000</v>
      </c>
      <c r="U65" s="319">
        <f>+Zał.1_WPF_bazowy!U60</f>
        <v>743000</v>
      </c>
      <c r="V65" s="319">
        <f>+Zał.1_WPF_bazowy!V60</f>
        <v>0</v>
      </c>
      <c r="W65" s="319">
        <f>+Zał.1_WPF_bazowy!W60</f>
        <v>0</v>
      </c>
      <c r="X65" s="319">
        <f>+Zał.1_WPF_bazowy!X60</f>
        <v>0</v>
      </c>
      <c r="Y65" s="319">
        <f>+Zał.1_WPF_bazowy!Y60</f>
        <v>0</v>
      </c>
      <c r="Z65" s="319">
        <f>+Zał.1_WPF_bazowy!Z60</f>
        <v>0</v>
      </c>
      <c r="AA65" s="319">
        <f>+Zał.1_WPF_bazowy!AA60</f>
        <v>0</v>
      </c>
      <c r="AB65" s="319">
        <f>+Zał.1_WPF_bazowy!AB60</f>
        <v>0</v>
      </c>
      <c r="AC65" s="319">
        <f>+Zał.1_WPF_bazowy!AC60</f>
        <v>0</v>
      </c>
      <c r="AD65" s="319">
        <f>+Zał.1_WPF_bazowy!AD60</f>
        <v>0</v>
      </c>
      <c r="AE65" s="319">
        <f>+Zał.1_WPF_bazowy!AE60</f>
        <v>0</v>
      </c>
      <c r="AF65" s="319">
        <f>+Zał.1_WPF_bazowy!AF60</f>
        <v>0</v>
      </c>
      <c r="AG65" s="319">
        <f>+Zał.1_WPF_bazowy!AG60</f>
        <v>0</v>
      </c>
      <c r="AH65" s="319">
        <f>+Zał.1_WPF_bazowy!AH60</f>
        <v>0</v>
      </c>
      <c r="AI65" s="319">
        <f>+Zał.1_WPF_bazowy!AI60</f>
        <v>0</v>
      </c>
      <c r="AJ65" s="319">
        <f>+Zał.1_WPF_bazowy!AJ60</f>
        <v>0</v>
      </c>
      <c r="AK65" s="319">
        <f>+Zał.1_WPF_bazowy!AK60</f>
        <v>0</v>
      </c>
      <c r="AL65" s="320">
        <f>+Zał.1_WPF_bazowy!AL60</f>
        <v>0</v>
      </c>
    </row>
    <row r="66" spans="1:253" s="139" customFormat="1" outlineLevel="2">
      <c r="A66" s="375"/>
      <c r="B66" s="48" t="s">
        <v>189</v>
      </c>
      <c r="C66" s="257"/>
      <c r="D66" s="355" t="s">
        <v>243</v>
      </c>
      <c r="E66" s="246">
        <f>Zał.1_WPF_bazowy!E61</f>
        <v>0</v>
      </c>
      <c r="F66" s="247">
        <f>Zał.1_WPF_bazowy!F61</f>
        <v>0</v>
      </c>
      <c r="G66" s="247">
        <f>Zał.1_WPF_bazowy!G61</f>
        <v>0</v>
      </c>
      <c r="H66" s="309">
        <f>Zał.1_WPF_bazowy!H61</f>
        <v>0</v>
      </c>
      <c r="I66" s="310">
        <f>+Zał.1_WPF_bazowy!I61</f>
        <v>0</v>
      </c>
      <c r="J66" s="311">
        <f>+Zał.1_WPF_bazowy!J61</f>
        <v>1057000</v>
      </c>
      <c r="K66" s="311">
        <f>+Zał.1_WPF_bazowy!K61</f>
        <v>100000</v>
      </c>
      <c r="L66" s="311">
        <f>+Zał.1_WPF_bazowy!L61</f>
        <v>400000</v>
      </c>
      <c r="M66" s="311">
        <f>+Zał.1_WPF_bazowy!M61</f>
        <v>600000</v>
      </c>
      <c r="N66" s="311">
        <f>+Zał.1_WPF_bazowy!N61</f>
        <v>600000</v>
      </c>
      <c r="O66" s="311">
        <f>+Zał.1_WPF_bazowy!O61</f>
        <v>1200000</v>
      </c>
      <c r="P66" s="311">
        <f>+Zał.1_WPF_bazowy!P61</f>
        <v>1300000</v>
      </c>
      <c r="Q66" s="311">
        <f>+Zał.1_WPF_bazowy!Q61</f>
        <v>1200000</v>
      </c>
      <c r="R66" s="311">
        <f>+Zał.1_WPF_bazowy!R61</f>
        <v>1330000</v>
      </c>
      <c r="S66" s="311">
        <f>+Zał.1_WPF_bazowy!S61</f>
        <v>1510000</v>
      </c>
      <c r="T66" s="311">
        <f>+Zał.1_WPF_bazowy!T61</f>
        <v>1548000</v>
      </c>
      <c r="U66" s="311">
        <f>+Zał.1_WPF_bazowy!U61</f>
        <v>465000</v>
      </c>
      <c r="V66" s="311">
        <f>+Zał.1_WPF_bazowy!V61</f>
        <v>0</v>
      </c>
      <c r="W66" s="311">
        <f>+Zał.1_WPF_bazowy!W61</f>
        <v>0</v>
      </c>
      <c r="X66" s="311">
        <f>+Zał.1_WPF_bazowy!X61</f>
        <v>0</v>
      </c>
      <c r="Y66" s="311">
        <f>+Zał.1_WPF_bazowy!Y61</f>
        <v>0</v>
      </c>
      <c r="Z66" s="311">
        <f>+Zał.1_WPF_bazowy!Z61</f>
        <v>0</v>
      </c>
      <c r="AA66" s="311">
        <f>+Zał.1_WPF_bazowy!AA61</f>
        <v>0</v>
      </c>
      <c r="AB66" s="311">
        <f>+Zał.1_WPF_bazowy!AB61</f>
        <v>0</v>
      </c>
      <c r="AC66" s="311">
        <f>+Zał.1_WPF_bazowy!AC61</f>
        <v>0</v>
      </c>
      <c r="AD66" s="311">
        <f>+Zał.1_WPF_bazowy!AD61</f>
        <v>0</v>
      </c>
      <c r="AE66" s="311">
        <f>+Zał.1_WPF_bazowy!AE61</f>
        <v>0</v>
      </c>
      <c r="AF66" s="311">
        <f>+Zał.1_WPF_bazowy!AF61</f>
        <v>0</v>
      </c>
      <c r="AG66" s="311">
        <f>+Zał.1_WPF_bazowy!AG61</f>
        <v>0</v>
      </c>
      <c r="AH66" s="311">
        <f>+Zał.1_WPF_bazowy!AH61</f>
        <v>0</v>
      </c>
      <c r="AI66" s="311">
        <f>+Zał.1_WPF_bazowy!AI61</f>
        <v>0</v>
      </c>
      <c r="AJ66" s="311">
        <f>+Zał.1_WPF_bazowy!AJ61</f>
        <v>0</v>
      </c>
      <c r="AK66" s="311">
        <f>+Zał.1_WPF_bazowy!AK61</f>
        <v>0</v>
      </c>
      <c r="AL66" s="312">
        <f>+Zał.1_WPF_bazowy!AL61</f>
        <v>0</v>
      </c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</row>
    <row r="67" spans="1:253" s="154" customFormat="1" ht="15" outlineLevel="1">
      <c r="A67" s="375"/>
      <c r="B67" s="47">
        <v>11</v>
      </c>
      <c r="C67" s="256"/>
      <c r="D67" s="353" t="s">
        <v>113</v>
      </c>
      <c r="E67" s="252" t="s">
        <v>31</v>
      </c>
      <c r="F67" s="253" t="s">
        <v>31</v>
      </c>
      <c r="G67" s="253" t="s">
        <v>31</v>
      </c>
      <c r="H67" s="321" t="s">
        <v>31</v>
      </c>
      <c r="I67" s="322" t="s">
        <v>31</v>
      </c>
      <c r="J67" s="323" t="s">
        <v>31</v>
      </c>
      <c r="K67" s="323" t="s">
        <v>31</v>
      </c>
      <c r="L67" s="323" t="s">
        <v>31</v>
      </c>
      <c r="M67" s="323" t="s">
        <v>31</v>
      </c>
      <c r="N67" s="323" t="s">
        <v>31</v>
      </c>
      <c r="O67" s="323" t="s">
        <v>31</v>
      </c>
      <c r="P67" s="323" t="s">
        <v>31</v>
      </c>
      <c r="Q67" s="323" t="s">
        <v>31</v>
      </c>
      <c r="R67" s="323" t="s">
        <v>31</v>
      </c>
      <c r="S67" s="323" t="s">
        <v>31</v>
      </c>
      <c r="T67" s="323" t="s">
        <v>31</v>
      </c>
      <c r="U67" s="323" t="s">
        <v>31</v>
      </c>
      <c r="V67" s="323" t="s">
        <v>31</v>
      </c>
      <c r="W67" s="323" t="s">
        <v>31</v>
      </c>
      <c r="X67" s="323" t="s">
        <v>31</v>
      </c>
      <c r="Y67" s="323" t="s">
        <v>31</v>
      </c>
      <c r="Z67" s="323" t="s">
        <v>31</v>
      </c>
      <c r="AA67" s="323" t="s">
        <v>31</v>
      </c>
      <c r="AB67" s="323" t="s">
        <v>31</v>
      </c>
      <c r="AC67" s="323" t="s">
        <v>31</v>
      </c>
      <c r="AD67" s="323" t="s">
        <v>31</v>
      </c>
      <c r="AE67" s="323" t="s">
        <v>31</v>
      </c>
      <c r="AF67" s="323" t="s">
        <v>31</v>
      </c>
      <c r="AG67" s="323" t="s">
        <v>31</v>
      </c>
      <c r="AH67" s="323" t="s">
        <v>31</v>
      </c>
      <c r="AI67" s="323" t="s">
        <v>31</v>
      </c>
      <c r="AJ67" s="323" t="s">
        <v>31</v>
      </c>
      <c r="AK67" s="323" t="s">
        <v>31</v>
      </c>
      <c r="AL67" s="324" t="s">
        <v>31</v>
      </c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49"/>
      <c r="FL67" s="149"/>
      <c r="FM67" s="149"/>
      <c r="FN67" s="149"/>
      <c r="FO67" s="149"/>
      <c r="FP67" s="149"/>
      <c r="FQ67" s="149"/>
      <c r="FR67" s="149"/>
      <c r="FS67" s="149"/>
      <c r="FT67" s="149"/>
      <c r="FU67" s="149"/>
      <c r="FV67" s="149"/>
      <c r="FW67" s="149"/>
      <c r="FX67" s="149"/>
      <c r="FY67" s="149"/>
      <c r="FZ67" s="149"/>
      <c r="GA67" s="149"/>
      <c r="GB67" s="149"/>
      <c r="GC67" s="149"/>
      <c r="GD67" s="149"/>
      <c r="GE67" s="149"/>
      <c r="GF67" s="149"/>
      <c r="GG67" s="149"/>
      <c r="GH67" s="149"/>
      <c r="GI67" s="149"/>
      <c r="GJ67" s="149"/>
      <c r="GK67" s="149"/>
      <c r="GL67" s="149"/>
      <c r="GM67" s="149"/>
      <c r="GN67" s="149"/>
      <c r="GO67" s="149"/>
      <c r="GP67" s="149"/>
      <c r="GQ67" s="149"/>
      <c r="GR67" s="149"/>
      <c r="GS67" s="149"/>
      <c r="GT67" s="149"/>
      <c r="GU67" s="149"/>
      <c r="GV67" s="149"/>
      <c r="GW67" s="149"/>
      <c r="GX67" s="149"/>
      <c r="GY67" s="149"/>
      <c r="GZ67" s="149"/>
      <c r="HA67" s="149"/>
      <c r="HB67" s="149"/>
      <c r="HC67" s="149"/>
      <c r="HD67" s="149"/>
      <c r="HE67" s="149"/>
      <c r="HF67" s="149"/>
      <c r="HG67" s="149"/>
      <c r="HH67" s="149"/>
      <c r="HI67" s="149"/>
      <c r="HJ67" s="149"/>
      <c r="HK67" s="149"/>
      <c r="HL67" s="149"/>
      <c r="HM67" s="149"/>
      <c r="HN67" s="149"/>
      <c r="HO67" s="149"/>
      <c r="HP67" s="149"/>
      <c r="HQ67" s="149"/>
      <c r="HR67" s="149"/>
      <c r="HS67" s="149"/>
      <c r="HT67" s="149"/>
      <c r="HU67" s="149"/>
      <c r="HV67" s="149"/>
      <c r="HW67" s="149"/>
      <c r="HX67" s="149"/>
      <c r="HY67" s="149"/>
      <c r="HZ67" s="149"/>
      <c r="IA67" s="149"/>
      <c r="IB67" s="149"/>
      <c r="IC67" s="149"/>
      <c r="ID67" s="149"/>
      <c r="IE67" s="149"/>
      <c r="IF67" s="149"/>
      <c r="IG67" s="149"/>
      <c r="IH67" s="149"/>
      <c r="II67" s="149"/>
      <c r="IJ67" s="149"/>
      <c r="IK67" s="149"/>
      <c r="IL67" s="149"/>
      <c r="IM67" s="149"/>
      <c r="IN67" s="149"/>
      <c r="IO67" s="149"/>
      <c r="IP67" s="149"/>
      <c r="IQ67" s="149"/>
      <c r="IR67" s="149"/>
      <c r="IS67" s="149"/>
    </row>
    <row r="68" spans="1:253" outlineLevel="2">
      <c r="A68" s="375"/>
      <c r="B68" s="48" t="s">
        <v>190</v>
      </c>
      <c r="C68" s="257"/>
      <c r="D68" s="355" t="s">
        <v>244</v>
      </c>
      <c r="E68" s="246">
        <f>Zał.1_WPF_bazowy!E63</f>
        <v>0</v>
      </c>
      <c r="F68" s="247">
        <f>Zał.1_WPF_bazowy!F63</f>
        <v>5923327</v>
      </c>
      <c r="G68" s="247">
        <f>Zał.1_WPF_bazowy!G63</f>
        <v>6553390.0899999999</v>
      </c>
      <c r="H68" s="309">
        <f>Zał.1_WPF_bazowy!H63</f>
        <v>6453390.0899999999</v>
      </c>
      <c r="I68" s="310">
        <f>+Zał.1_WPF_bazowy!I63</f>
        <v>6782288.0599999996</v>
      </c>
      <c r="J68" s="311">
        <f>+Zał.1_WPF_bazowy!J63</f>
        <v>6758808</v>
      </c>
      <c r="K68" s="311">
        <f>+Zał.1_WPF_bazowy!K63</f>
        <v>6961573</v>
      </c>
      <c r="L68" s="311">
        <f>+Zał.1_WPF_bazowy!L63</f>
        <v>7170420</v>
      </c>
      <c r="M68" s="311">
        <f>+Zał.1_WPF_bazowy!M63</f>
        <v>7385532</v>
      </c>
      <c r="N68" s="311">
        <f>+Zał.1_WPF_bazowy!N63</f>
        <v>7607098</v>
      </c>
      <c r="O68" s="311">
        <f>+Zał.1_WPF_bazowy!O63</f>
        <v>7835311</v>
      </c>
      <c r="P68" s="311">
        <f>+Zał.1_WPF_bazowy!P63</f>
        <v>8070371</v>
      </c>
      <c r="Q68" s="311">
        <f>+Zał.1_WPF_bazowy!Q63</f>
        <v>8312482</v>
      </c>
      <c r="R68" s="311">
        <f>+Zał.1_WPF_bazowy!R63</f>
        <v>8561856</v>
      </c>
      <c r="S68" s="311">
        <f>+Zał.1_WPF_bazowy!S63</f>
        <v>8818712</v>
      </c>
      <c r="T68" s="311">
        <f>+Zał.1_WPF_bazowy!T63</f>
        <v>9083273</v>
      </c>
      <c r="U68" s="311">
        <f>+Zał.1_WPF_bazowy!U63</f>
        <v>9355771</v>
      </c>
      <c r="V68" s="311">
        <f>+Zał.1_WPF_bazowy!V63</f>
        <v>0</v>
      </c>
      <c r="W68" s="311">
        <f>+Zał.1_WPF_bazowy!W63</f>
        <v>0</v>
      </c>
      <c r="X68" s="311">
        <f>+Zał.1_WPF_bazowy!X63</f>
        <v>0</v>
      </c>
      <c r="Y68" s="311">
        <f>+Zał.1_WPF_bazowy!Y63</f>
        <v>0</v>
      </c>
      <c r="Z68" s="311">
        <f>+Zał.1_WPF_bazowy!Z63</f>
        <v>0</v>
      </c>
      <c r="AA68" s="311">
        <f>+Zał.1_WPF_bazowy!AA63</f>
        <v>0</v>
      </c>
      <c r="AB68" s="311">
        <f>+Zał.1_WPF_bazowy!AB63</f>
        <v>0</v>
      </c>
      <c r="AC68" s="311">
        <f>+Zał.1_WPF_bazowy!AC63</f>
        <v>0</v>
      </c>
      <c r="AD68" s="311">
        <f>+Zał.1_WPF_bazowy!AD63</f>
        <v>0</v>
      </c>
      <c r="AE68" s="311">
        <f>+Zał.1_WPF_bazowy!AE63</f>
        <v>0</v>
      </c>
      <c r="AF68" s="311">
        <f>+Zał.1_WPF_bazowy!AF63</f>
        <v>0</v>
      </c>
      <c r="AG68" s="311">
        <f>+Zał.1_WPF_bazowy!AG63</f>
        <v>0</v>
      </c>
      <c r="AH68" s="311">
        <f>+Zał.1_WPF_bazowy!AH63</f>
        <v>0</v>
      </c>
      <c r="AI68" s="311">
        <f>+Zał.1_WPF_bazowy!AI63</f>
        <v>0</v>
      </c>
      <c r="AJ68" s="311">
        <f>+Zał.1_WPF_bazowy!AJ63</f>
        <v>0</v>
      </c>
      <c r="AK68" s="311">
        <f>+Zał.1_WPF_bazowy!AK63</f>
        <v>0</v>
      </c>
      <c r="AL68" s="312">
        <f>+Zał.1_WPF_bazowy!AL63</f>
        <v>0</v>
      </c>
    </row>
    <row r="69" spans="1:253" outlineLevel="2">
      <c r="A69" s="375"/>
      <c r="B69" s="48" t="s">
        <v>191</v>
      </c>
      <c r="C69" s="257"/>
      <c r="D69" s="355" t="s">
        <v>245</v>
      </c>
      <c r="E69" s="246">
        <f>Zał.1_WPF_bazowy!E64</f>
        <v>2273739.15</v>
      </c>
      <c r="F69" s="247">
        <f>Zał.1_WPF_bazowy!F64</f>
        <v>2353079.52</v>
      </c>
      <c r="G69" s="247">
        <f>Zał.1_WPF_bazowy!G64</f>
        <v>0</v>
      </c>
      <c r="H69" s="309">
        <f>Zał.1_WPF_bazowy!H64</f>
        <v>2586844.9700000002</v>
      </c>
      <c r="I69" s="310">
        <f>+Zał.1_WPF_bazowy!I64</f>
        <v>3184091</v>
      </c>
      <c r="J69" s="311">
        <f>+Zał.1_WPF_bazowy!J64</f>
        <v>3200000</v>
      </c>
      <c r="K69" s="311">
        <f>+Zał.1_WPF_bazowy!K64</f>
        <v>3250000</v>
      </c>
      <c r="L69" s="311">
        <f>+Zał.1_WPF_bazowy!L64</f>
        <v>3300000</v>
      </c>
      <c r="M69" s="311">
        <f>+Zał.1_WPF_bazowy!M64</f>
        <v>3400000</v>
      </c>
      <c r="N69" s="311">
        <f>+Zał.1_WPF_bazowy!N64</f>
        <v>3500000</v>
      </c>
      <c r="O69" s="311">
        <f>+Zał.1_WPF_bazowy!O64</f>
        <v>3600000</v>
      </c>
      <c r="P69" s="311">
        <f>+Zał.1_WPF_bazowy!P64</f>
        <v>3700000</v>
      </c>
      <c r="Q69" s="311">
        <f>+Zał.1_WPF_bazowy!Q64</f>
        <v>3800000</v>
      </c>
      <c r="R69" s="311">
        <f>+Zał.1_WPF_bazowy!R64</f>
        <v>3900000</v>
      </c>
      <c r="S69" s="311">
        <f>+Zał.1_WPF_bazowy!S64</f>
        <v>4000000</v>
      </c>
      <c r="T69" s="311">
        <f>+Zał.1_WPF_bazowy!T64</f>
        <v>4100000</v>
      </c>
      <c r="U69" s="311">
        <f>+Zał.1_WPF_bazowy!U64</f>
        <v>4200000</v>
      </c>
      <c r="V69" s="311">
        <f>+Zał.1_WPF_bazowy!V64</f>
        <v>0</v>
      </c>
      <c r="W69" s="311">
        <f>+Zał.1_WPF_bazowy!W64</f>
        <v>0</v>
      </c>
      <c r="X69" s="311">
        <f>+Zał.1_WPF_bazowy!X64</f>
        <v>0</v>
      </c>
      <c r="Y69" s="311">
        <f>+Zał.1_WPF_bazowy!Y64</f>
        <v>0</v>
      </c>
      <c r="Z69" s="311">
        <f>+Zał.1_WPF_bazowy!Z64</f>
        <v>0</v>
      </c>
      <c r="AA69" s="311">
        <f>+Zał.1_WPF_bazowy!AA64</f>
        <v>0</v>
      </c>
      <c r="AB69" s="311">
        <f>+Zał.1_WPF_bazowy!AB64</f>
        <v>0</v>
      </c>
      <c r="AC69" s="311">
        <f>+Zał.1_WPF_bazowy!AC64</f>
        <v>0</v>
      </c>
      <c r="AD69" s="311">
        <f>+Zał.1_WPF_bazowy!AD64</f>
        <v>0</v>
      </c>
      <c r="AE69" s="311">
        <f>+Zał.1_WPF_bazowy!AE64</f>
        <v>0</v>
      </c>
      <c r="AF69" s="311">
        <f>+Zał.1_WPF_bazowy!AF64</f>
        <v>0</v>
      </c>
      <c r="AG69" s="311">
        <f>+Zał.1_WPF_bazowy!AG64</f>
        <v>0</v>
      </c>
      <c r="AH69" s="311">
        <f>+Zał.1_WPF_bazowy!AH64</f>
        <v>0</v>
      </c>
      <c r="AI69" s="311">
        <f>+Zał.1_WPF_bazowy!AI64</f>
        <v>0</v>
      </c>
      <c r="AJ69" s="311">
        <f>+Zał.1_WPF_bazowy!AJ64</f>
        <v>0</v>
      </c>
      <c r="AK69" s="311">
        <f>+Zał.1_WPF_bazowy!AK64</f>
        <v>0</v>
      </c>
      <c r="AL69" s="312">
        <f>+Zał.1_WPF_bazowy!AL64</f>
        <v>0</v>
      </c>
    </row>
    <row r="70" spans="1:253" outlineLevel="2">
      <c r="A70" s="375"/>
      <c r="B70" s="48" t="s">
        <v>192</v>
      </c>
      <c r="C70" s="257" t="s">
        <v>420</v>
      </c>
      <c r="D70" s="355" t="s">
        <v>248</v>
      </c>
      <c r="E70" s="246">
        <f>Zał.1_WPF_bazowy!E65</f>
        <v>0</v>
      </c>
      <c r="F70" s="247">
        <f>Zał.1_WPF_bazowy!F65</f>
        <v>8891064.8800000008</v>
      </c>
      <c r="G70" s="247">
        <f>Zał.1_WPF_bazowy!G65</f>
        <v>3394607</v>
      </c>
      <c r="H70" s="171">
        <f>+H71+H72</f>
        <v>0</v>
      </c>
      <c r="I70" s="169">
        <f>+I71+I72</f>
        <v>3145713</v>
      </c>
      <c r="J70" s="170">
        <f t="shared" ref="J70:AL70" si="20">+J71+J72</f>
        <v>1960042</v>
      </c>
      <c r="K70" s="170">
        <f t="shared" si="20"/>
        <v>10456</v>
      </c>
      <c r="L70" s="170">
        <f t="shared" si="20"/>
        <v>0</v>
      </c>
      <c r="M70" s="170">
        <f t="shared" si="20"/>
        <v>0</v>
      </c>
      <c r="N70" s="170">
        <f t="shared" si="20"/>
        <v>0</v>
      </c>
      <c r="O70" s="170">
        <f t="shared" si="20"/>
        <v>0</v>
      </c>
      <c r="P70" s="170">
        <f t="shared" si="20"/>
        <v>0</v>
      </c>
      <c r="Q70" s="170">
        <f t="shared" si="20"/>
        <v>0</v>
      </c>
      <c r="R70" s="170">
        <f t="shared" si="20"/>
        <v>0</v>
      </c>
      <c r="S70" s="170">
        <f t="shared" si="20"/>
        <v>0</v>
      </c>
      <c r="T70" s="170">
        <f t="shared" si="20"/>
        <v>0</v>
      </c>
      <c r="U70" s="170">
        <f t="shared" si="20"/>
        <v>0</v>
      </c>
      <c r="V70" s="170">
        <f t="shared" si="20"/>
        <v>0</v>
      </c>
      <c r="W70" s="170">
        <f t="shared" si="20"/>
        <v>0</v>
      </c>
      <c r="X70" s="170">
        <f t="shared" si="20"/>
        <v>0</v>
      </c>
      <c r="Y70" s="170">
        <f t="shared" si="20"/>
        <v>0</v>
      </c>
      <c r="Z70" s="170">
        <f t="shared" si="20"/>
        <v>0</v>
      </c>
      <c r="AA70" s="170">
        <f t="shared" si="20"/>
        <v>0</v>
      </c>
      <c r="AB70" s="170">
        <f t="shared" si="20"/>
        <v>0</v>
      </c>
      <c r="AC70" s="170">
        <f t="shared" si="20"/>
        <v>0</v>
      </c>
      <c r="AD70" s="170">
        <f t="shared" si="20"/>
        <v>0</v>
      </c>
      <c r="AE70" s="170">
        <f t="shared" si="20"/>
        <v>0</v>
      </c>
      <c r="AF70" s="170">
        <f t="shared" si="20"/>
        <v>0</v>
      </c>
      <c r="AG70" s="170">
        <f t="shared" si="20"/>
        <v>0</v>
      </c>
      <c r="AH70" s="170">
        <f t="shared" si="20"/>
        <v>0</v>
      </c>
      <c r="AI70" s="170">
        <f t="shared" si="20"/>
        <v>0</v>
      </c>
      <c r="AJ70" s="170">
        <f t="shared" si="20"/>
        <v>0</v>
      </c>
      <c r="AK70" s="170">
        <f t="shared" si="20"/>
        <v>0</v>
      </c>
      <c r="AL70" s="171">
        <f t="shared" si="20"/>
        <v>0</v>
      </c>
    </row>
    <row r="71" spans="1:253" outlineLevel="2">
      <c r="A71" s="375"/>
      <c r="B71" s="48" t="s">
        <v>117</v>
      </c>
      <c r="C71" s="257"/>
      <c r="D71" s="356" t="s">
        <v>246</v>
      </c>
      <c r="E71" s="246">
        <f>Zał.1_WPF_bazowy!E66</f>
        <v>0</v>
      </c>
      <c r="F71" s="247">
        <f>Zał.1_WPF_bazowy!F66</f>
        <v>765372.88</v>
      </c>
      <c r="G71" s="247">
        <f>Zał.1_WPF_bazowy!G66</f>
        <v>899105</v>
      </c>
      <c r="H71" s="309">
        <f>Zał.1_WPF_bazowy!H66</f>
        <v>0</v>
      </c>
      <c r="I71" s="310">
        <f>+Zał.1_WPF_bazowy!I66</f>
        <v>220152</v>
      </c>
      <c r="J71" s="311">
        <f>+Zał.1_WPF_bazowy!J66</f>
        <v>26738</v>
      </c>
      <c r="K71" s="311">
        <f>+Zał.1_WPF_bazowy!K66</f>
        <v>0</v>
      </c>
      <c r="L71" s="311">
        <f>+Zał.1_WPF_bazowy!L66</f>
        <v>0</v>
      </c>
      <c r="M71" s="311">
        <f>+Zał.1_WPF_bazowy!M66</f>
        <v>0</v>
      </c>
      <c r="N71" s="311">
        <f>+Zał.1_WPF_bazowy!N66</f>
        <v>0</v>
      </c>
      <c r="O71" s="311">
        <f>+Zał.1_WPF_bazowy!O66</f>
        <v>0</v>
      </c>
      <c r="P71" s="311">
        <f>+Zał.1_WPF_bazowy!P66</f>
        <v>0</v>
      </c>
      <c r="Q71" s="311">
        <f>+Zał.1_WPF_bazowy!Q66</f>
        <v>0</v>
      </c>
      <c r="R71" s="311">
        <f>+Zał.1_WPF_bazowy!R66</f>
        <v>0</v>
      </c>
      <c r="S71" s="311">
        <f>+Zał.1_WPF_bazowy!S66</f>
        <v>0</v>
      </c>
      <c r="T71" s="311">
        <f>+Zał.1_WPF_bazowy!T66</f>
        <v>0</v>
      </c>
      <c r="U71" s="311">
        <f>+Zał.1_WPF_bazowy!U66</f>
        <v>0</v>
      </c>
      <c r="V71" s="311">
        <f>+Zał.1_WPF_bazowy!V66</f>
        <v>0</v>
      </c>
      <c r="W71" s="311">
        <f>+Zał.1_WPF_bazowy!W66</f>
        <v>0</v>
      </c>
      <c r="X71" s="311">
        <f>+Zał.1_WPF_bazowy!X66</f>
        <v>0</v>
      </c>
      <c r="Y71" s="311">
        <f>+Zał.1_WPF_bazowy!Y66</f>
        <v>0</v>
      </c>
      <c r="Z71" s="311">
        <f>+Zał.1_WPF_bazowy!Z66</f>
        <v>0</v>
      </c>
      <c r="AA71" s="311">
        <f>+Zał.1_WPF_bazowy!AA66</f>
        <v>0</v>
      </c>
      <c r="AB71" s="311">
        <f>+Zał.1_WPF_bazowy!AB66</f>
        <v>0</v>
      </c>
      <c r="AC71" s="311">
        <f>+Zał.1_WPF_bazowy!AC66</f>
        <v>0</v>
      </c>
      <c r="AD71" s="311">
        <f>+Zał.1_WPF_bazowy!AD66</f>
        <v>0</v>
      </c>
      <c r="AE71" s="311">
        <f>+Zał.1_WPF_bazowy!AE66</f>
        <v>0</v>
      </c>
      <c r="AF71" s="311">
        <f>+Zał.1_WPF_bazowy!AF66</f>
        <v>0</v>
      </c>
      <c r="AG71" s="311">
        <f>+Zał.1_WPF_bazowy!AG66</f>
        <v>0</v>
      </c>
      <c r="AH71" s="311">
        <f>+Zał.1_WPF_bazowy!AH66</f>
        <v>0</v>
      </c>
      <c r="AI71" s="311">
        <f>+Zał.1_WPF_bazowy!AI66</f>
        <v>0</v>
      </c>
      <c r="AJ71" s="311">
        <f>+Zał.1_WPF_bazowy!AJ66</f>
        <v>0</v>
      </c>
      <c r="AK71" s="311">
        <f>+Zał.1_WPF_bazowy!AK66</f>
        <v>0</v>
      </c>
      <c r="AL71" s="312">
        <f>+Zał.1_WPF_bazowy!AL66</f>
        <v>0</v>
      </c>
    </row>
    <row r="72" spans="1:253" outlineLevel="2">
      <c r="A72" s="375"/>
      <c r="B72" s="48" t="s">
        <v>119</v>
      </c>
      <c r="C72" s="257"/>
      <c r="D72" s="356" t="s">
        <v>247</v>
      </c>
      <c r="E72" s="246">
        <f>Zał.1_WPF_bazowy!E67</f>
        <v>0</v>
      </c>
      <c r="F72" s="247">
        <f>Zał.1_WPF_bazowy!F67</f>
        <v>8125692</v>
      </c>
      <c r="G72" s="247">
        <f>Zał.1_WPF_bazowy!G67</f>
        <v>2495502</v>
      </c>
      <c r="H72" s="309">
        <f>Zał.1_WPF_bazowy!H67</f>
        <v>0</v>
      </c>
      <c r="I72" s="310">
        <f>+Zał.1_WPF_bazowy!I67</f>
        <v>2925561</v>
      </c>
      <c r="J72" s="311">
        <f>+Zał.1_WPF_bazowy!J67</f>
        <v>1933304</v>
      </c>
      <c r="K72" s="311">
        <f>+Zał.1_WPF_bazowy!K67</f>
        <v>10456</v>
      </c>
      <c r="L72" s="311">
        <f>+Zał.1_WPF_bazowy!L67</f>
        <v>0</v>
      </c>
      <c r="M72" s="311">
        <f>+Zał.1_WPF_bazowy!M67</f>
        <v>0</v>
      </c>
      <c r="N72" s="311">
        <f>+Zał.1_WPF_bazowy!N67</f>
        <v>0</v>
      </c>
      <c r="O72" s="311">
        <f>+Zał.1_WPF_bazowy!O67</f>
        <v>0</v>
      </c>
      <c r="P72" s="311">
        <f>+Zał.1_WPF_bazowy!P67</f>
        <v>0</v>
      </c>
      <c r="Q72" s="311">
        <f>+Zał.1_WPF_bazowy!Q67</f>
        <v>0</v>
      </c>
      <c r="R72" s="311">
        <f>+Zał.1_WPF_bazowy!R67</f>
        <v>0</v>
      </c>
      <c r="S72" s="311">
        <f>+Zał.1_WPF_bazowy!S67</f>
        <v>0</v>
      </c>
      <c r="T72" s="311">
        <f>+Zał.1_WPF_bazowy!T67</f>
        <v>0</v>
      </c>
      <c r="U72" s="311">
        <f>+Zał.1_WPF_bazowy!U67</f>
        <v>0</v>
      </c>
      <c r="V72" s="311">
        <f>+Zał.1_WPF_bazowy!V67</f>
        <v>0</v>
      </c>
      <c r="W72" s="311">
        <f>+Zał.1_WPF_bazowy!W67</f>
        <v>0</v>
      </c>
      <c r="X72" s="311">
        <f>+Zał.1_WPF_bazowy!X67</f>
        <v>0</v>
      </c>
      <c r="Y72" s="311">
        <f>+Zał.1_WPF_bazowy!Y67</f>
        <v>0</v>
      </c>
      <c r="Z72" s="311">
        <f>+Zał.1_WPF_bazowy!Z67</f>
        <v>0</v>
      </c>
      <c r="AA72" s="311">
        <f>+Zał.1_WPF_bazowy!AA67</f>
        <v>0</v>
      </c>
      <c r="AB72" s="311">
        <f>+Zał.1_WPF_bazowy!AB67</f>
        <v>0</v>
      </c>
      <c r="AC72" s="311">
        <f>+Zał.1_WPF_bazowy!AC67</f>
        <v>0</v>
      </c>
      <c r="AD72" s="311">
        <f>+Zał.1_WPF_bazowy!AD67</f>
        <v>0</v>
      </c>
      <c r="AE72" s="311">
        <f>+Zał.1_WPF_bazowy!AE67</f>
        <v>0</v>
      </c>
      <c r="AF72" s="311">
        <f>+Zał.1_WPF_bazowy!AF67</f>
        <v>0</v>
      </c>
      <c r="AG72" s="311">
        <f>+Zał.1_WPF_bazowy!AG67</f>
        <v>0</v>
      </c>
      <c r="AH72" s="311">
        <f>+Zał.1_WPF_bazowy!AH67</f>
        <v>0</v>
      </c>
      <c r="AI72" s="311">
        <f>+Zał.1_WPF_bazowy!AI67</f>
        <v>0</v>
      </c>
      <c r="AJ72" s="311">
        <f>+Zał.1_WPF_bazowy!AJ67</f>
        <v>0</v>
      </c>
      <c r="AK72" s="311">
        <f>+Zał.1_WPF_bazowy!AK67</f>
        <v>0</v>
      </c>
      <c r="AL72" s="312">
        <f>+Zał.1_WPF_bazowy!AL67</f>
        <v>0</v>
      </c>
    </row>
    <row r="73" spans="1:253" outlineLevel="2">
      <c r="A73" s="375"/>
      <c r="B73" s="48" t="s">
        <v>193</v>
      </c>
      <c r="C73" s="257"/>
      <c r="D73" s="355" t="s">
        <v>249</v>
      </c>
      <c r="E73" s="246">
        <f>Zał.1_WPF_bazowy!E68</f>
        <v>0</v>
      </c>
      <c r="F73" s="247">
        <f>Zał.1_WPF_bazowy!F68</f>
        <v>0</v>
      </c>
      <c r="G73" s="247">
        <f>Zał.1_WPF_bazowy!G68</f>
        <v>0</v>
      </c>
      <c r="H73" s="309">
        <f>Zał.1_WPF_bazowy!H68</f>
        <v>0</v>
      </c>
      <c r="I73" s="310">
        <f>+Zał.1_WPF_bazowy!I68</f>
        <v>1310485</v>
      </c>
      <c r="J73" s="311">
        <f>+Zał.1_WPF_bazowy!J68</f>
        <v>1863304</v>
      </c>
      <c r="K73" s="311">
        <f>+Zał.1_WPF_bazowy!K68</f>
        <v>10456</v>
      </c>
      <c r="L73" s="311">
        <f>+Zał.1_WPF_bazowy!L68</f>
        <v>0</v>
      </c>
      <c r="M73" s="311">
        <f>+Zał.1_WPF_bazowy!M68</f>
        <v>0</v>
      </c>
      <c r="N73" s="311">
        <f>+Zał.1_WPF_bazowy!N68</f>
        <v>0</v>
      </c>
      <c r="O73" s="311">
        <f>+Zał.1_WPF_bazowy!O68</f>
        <v>0</v>
      </c>
      <c r="P73" s="311">
        <f>+Zał.1_WPF_bazowy!P68</f>
        <v>0</v>
      </c>
      <c r="Q73" s="311">
        <f>+Zał.1_WPF_bazowy!Q68</f>
        <v>0</v>
      </c>
      <c r="R73" s="311">
        <f>+Zał.1_WPF_bazowy!R68</f>
        <v>0</v>
      </c>
      <c r="S73" s="311">
        <f>+Zał.1_WPF_bazowy!S68</f>
        <v>0</v>
      </c>
      <c r="T73" s="311">
        <f>+Zał.1_WPF_bazowy!T68</f>
        <v>0</v>
      </c>
      <c r="U73" s="311">
        <f>+Zał.1_WPF_bazowy!U68</f>
        <v>0</v>
      </c>
      <c r="V73" s="311">
        <f>+Zał.1_WPF_bazowy!V68</f>
        <v>0</v>
      </c>
      <c r="W73" s="311">
        <f>+Zał.1_WPF_bazowy!W68</f>
        <v>0</v>
      </c>
      <c r="X73" s="311">
        <f>+Zał.1_WPF_bazowy!X68</f>
        <v>0</v>
      </c>
      <c r="Y73" s="311">
        <f>+Zał.1_WPF_bazowy!Y68</f>
        <v>0</v>
      </c>
      <c r="Z73" s="311">
        <f>+Zał.1_WPF_bazowy!Z68</f>
        <v>0</v>
      </c>
      <c r="AA73" s="311">
        <f>+Zał.1_WPF_bazowy!AA68</f>
        <v>0</v>
      </c>
      <c r="AB73" s="311">
        <f>+Zał.1_WPF_bazowy!AB68</f>
        <v>0</v>
      </c>
      <c r="AC73" s="311">
        <f>+Zał.1_WPF_bazowy!AC68</f>
        <v>0</v>
      </c>
      <c r="AD73" s="311">
        <f>+Zał.1_WPF_bazowy!AD68</f>
        <v>0</v>
      </c>
      <c r="AE73" s="311">
        <f>+Zał.1_WPF_bazowy!AE68</f>
        <v>0</v>
      </c>
      <c r="AF73" s="311">
        <f>+Zał.1_WPF_bazowy!AF68</f>
        <v>0</v>
      </c>
      <c r="AG73" s="311">
        <f>+Zał.1_WPF_bazowy!AG68</f>
        <v>0</v>
      </c>
      <c r="AH73" s="311">
        <f>+Zał.1_WPF_bazowy!AH68</f>
        <v>0</v>
      </c>
      <c r="AI73" s="311">
        <f>+Zał.1_WPF_bazowy!AI68</f>
        <v>0</v>
      </c>
      <c r="AJ73" s="311">
        <f>+Zał.1_WPF_bazowy!AJ68</f>
        <v>0</v>
      </c>
      <c r="AK73" s="311">
        <f>+Zał.1_WPF_bazowy!AK68</f>
        <v>0</v>
      </c>
      <c r="AL73" s="312">
        <f>+Zał.1_WPF_bazowy!AL68</f>
        <v>0</v>
      </c>
    </row>
    <row r="74" spans="1:253" outlineLevel="2">
      <c r="A74" s="375"/>
      <c r="B74" s="48" t="s">
        <v>194</v>
      </c>
      <c r="C74" s="257"/>
      <c r="D74" s="355" t="s">
        <v>250</v>
      </c>
      <c r="E74" s="246">
        <f>Zał.1_WPF_bazowy!E69</f>
        <v>0</v>
      </c>
      <c r="F74" s="247">
        <f>Zał.1_WPF_bazowy!F69</f>
        <v>0</v>
      </c>
      <c r="G74" s="247">
        <f>Zał.1_WPF_bazowy!G69</f>
        <v>0</v>
      </c>
      <c r="H74" s="309">
        <f>Zał.1_WPF_bazowy!H69</f>
        <v>0</v>
      </c>
      <c r="I74" s="310">
        <f>+Zał.1_WPF_bazowy!I69</f>
        <v>2022915</v>
      </c>
      <c r="J74" s="311">
        <f>+Zał.1_WPF_bazowy!J69</f>
        <v>941713</v>
      </c>
      <c r="K74" s="311">
        <f>+Zał.1_WPF_bazowy!K69</f>
        <v>0</v>
      </c>
      <c r="L74" s="311">
        <f>+Zał.1_WPF_bazowy!L69</f>
        <v>0</v>
      </c>
      <c r="M74" s="311">
        <f>+Zał.1_WPF_bazowy!M69</f>
        <v>0</v>
      </c>
      <c r="N74" s="311">
        <f>+Zał.1_WPF_bazowy!N69</f>
        <v>0</v>
      </c>
      <c r="O74" s="311">
        <f>+Zał.1_WPF_bazowy!O69</f>
        <v>0</v>
      </c>
      <c r="P74" s="311">
        <f>+Zał.1_WPF_bazowy!P69</f>
        <v>0</v>
      </c>
      <c r="Q74" s="311">
        <f>+Zał.1_WPF_bazowy!Q69</f>
        <v>0</v>
      </c>
      <c r="R74" s="311">
        <f>+Zał.1_WPF_bazowy!R69</f>
        <v>0</v>
      </c>
      <c r="S74" s="311">
        <f>+Zał.1_WPF_bazowy!S69</f>
        <v>0</v>
      </c>
      <c r="T74" s="311">
        <f>+Zał.1_WPF_bazowy!T69</f>
        <v>0</v>
      </c>
      <c r="U74" s="311">
        <f>+Zał.1_WPF_bazowy!U69</f>
        <v>0</v>
      </c>
      <c r="V74" s="311">
        <f>+Zał.1_WPF_bazowy!V69</f>
        <v>0</v>
      </c>
      <c r="W74" s="311">
        <f>+Zał.1_WPF_bazowy!W69</f>
        <v>0</v>
      </c>
      <c r="X74" s="311">
        <f>+Zał.1_WPF_bazowy!X69</f>
        <v>0</v>
      </c>
      <c r="Y74" s="311">
        <f>+Zał.1_WPF_bazowy!Y69</f>
        <v>0</v>
      </c>
      <c r="Z74" s="311">
        <f>+Zał.1_WPF_bazowy!Z69</f>
        <v>0</v>
      </c>
      <c r="AA74" s="311">
        <f>+Zał.1_WPF_bazowy!AA69</f>
        <v>0</v>
      </c>
      <c r="AB74" s="311">
        <f>+Zał.1_WPF_bazowy!AB69</f>
        <v>0</v>
      </c>
      <c r="AC74" s="311">
        <f>+Zał.1_WPF_bazowy!AC69</f>
        <v>0</v>
      </c>
      <c r="AD74" s="311">
        <f>+Zał.1_WPF_bazowy!AD69</f>
        <v>0</v>
      </c>
      <c r="AE74" s="311">
        <f>+Zał.1_WPF_bazowy!AE69</f>
        <v>0</v>
      </c>
      <c r="AF74" s="311">
        <f>+Zał.1_WPF_bazowy!AF69</f>
        <v>0</v>
      </c>
      <c r="AG74" s="311">
        <f>+Zał.1_WPF_bazowy!AG69</f>
        <v>0</v>
      </c>
      <c r="AH74" s="311">
        <f>+Zał.1_WPF_bazowy!AH69</f>
        <v>0</v>
      </c>
      <c r="AI74" s="311">
        <f>+Zał.1_WPF_bazowy!AI69</f>
        <v>0</v>
      </c>
      <c r="AJ74" s="311">
        <f>+Zał.1_WPF_bazowy!AJ69</f>
        <v>0</v>
      </c>
      <c r="AK74" s="311">
        <f>+Zał.1_WPF_bazowy!AK69</f>
        <v>0</v>
      </c>
      <c r="AL74" s="312">
        <f>+Zał.1_WPF_bazowy!AL69</f>
        <v>0</v>
      </c>
    </row>
    <row r="75" spans="1:253" outlineLevel="2">
      <c r="A75" s="375"/>
      <c r="B75" s="48" t="s">
        <v>195</v>
      </c>
      <c r="C75" s="257"/>
      <c r="D75" s="355" t="s">
        <v>251</v>
      </c>
      <c r="E75" s="246">
        <f>Zał.1_WPF_bazowy!E70</f>
        <v>0</v>
      </c>
      <c r="F75" s="247">
        <f>Zał.1_WPF_bazowy!F70</f>
        <v>0</v>
      </c>
      <c r="G75" s="247">
        <f>Zał.1_WPF_bazowy!G70</f>
        <v>0</v>
      </c>
      <c r="H75" s="309">
        <f>Zał.1_WPF_bazowy!H70</f>
        <v>0</v>
      </c>
      <c r="I75" s="310">
        <f>+Zał.1_WPF_bazowy!I70</f>
        <v>65000</v>
      </c>
      <c r="J75" s="311">
        <f>+Zał.1_WPF_bazowy!J70</f>
        <v>0</v>
      </c>
      <c r="K75" s="311">
        <f>+Zał.1_WPF_bazowy!K70</f>
        <v>0</v>
      </c>
      <c r="L75" s="311">
        <f>+Zał.1_WPF_bazowy!L70</f>
        <v>0</v>
      </c>
      <c r="M75" s="311">
        <f>+Zał.1_WPF_bazowy!M70</f>
        <v>0</v>
      </c>
      <c r="N75" s="311">
        <f>+Zał.1_WPF_bazowy!N70</f>
        <v>0</v>
      </c>
      <c r="O75" s="311">
        <f>+Zał.1_WPF_bazowy!O70</f>
        <v>0</v>
      </c>
      <c r="P75" s="311">
        <f>+Zał.1_WPF_bazowy!P70</f>
        <v>0</v>
      </c>
      <c r="Q75" s="311">
        <f>+Zał.1_WPF_bazowy!Q70</f>
        <v>0</v>
      </c>
      <c r="R75" s="311">
        <f>+Zał.1_WPF_bazowy!R70</f>
        <v>0</v>
      </c>
      <c r="S75" s="311">
        <f>+Zał.1_WPF_bazowy!S70</f>
        <v>0</v>
      </c>
      <c r="T75" s="311">
        <f>+Zał.1_WPF_bazowy!T70</f>
        <v>0</v>
      </c>
      <c r="U75" s="311">
        <f>+Zał.1_WPF_bazowy!U70</f>
        <v>0</v>
      </c>
      <c r="V75" s="311">
        <f>+Zał.1_WPF_bazowy!V70</f>
        <v>0</v>
      </c>
      <c r="W75" s="311">
        <f>+Zał.1_WPF_bazowy!W70</f>
        <v>0</v>
      </c>
      <c r="X75" s="311">
        <f>+Zał.1_WPF_bazowy!X70</f>
        <v>0</v>
      </c>
      <c r="Y75" s="311">
        <f>+Zał.1_WPF_bazowy!Y70</f>
        <v>0</v>
      </c>
      <c r="Z75" s="311">
        <f>+Zał.1_WPF_bazowy!Z70</f>
        <v>0</v>
      </c>
      <c r="AA75" s="311">
        <f>+Zał.1_WPF_bazowy!AA70</f>
        <v>0</v>
      </c>
      <c r="AB75" s="311">
        <f>+Zał.1_WPF_bazowy!AB70</f>
        <v>0</v>
      </c>
      <c r="AC75" s="311">
        <f>+Zał.1_WPF_bazowy!AC70</f>
        <v>0</v>
      </c>
      <c r="AD75" s="311">
        <f>+Zał.1_WPF_bazowy!AD70</f>
        <v>0</v>
      </c>
      <c r="AE75" s="311">
        <f>+Zał.1_WPF_bazowy!AE70</f>
        <v>0</v>
      </c>
      <c r="AF75" s="311">
        <f>+Zał.1_WPF_bazowy!AF70</f>
        <v>0</v>
      </c>
      <c r="AG75" s="311">
        <f>+Zał.1_WPF_bazowy!AG70</f>
        <v>0</v>
      </c>
      <c r="AH75" s="311">
        <f>+Zał.1_WPF_bazowy!AH70</f>
        <v>0</v>
      </c>
      <c r="AI75" s="311">
        <f>+Zał.1_WPF_bazowy!AI70</f>
        <v>0</v>
      </c>
      <c r="AJ75" s="311">
        <f>+Zał.1_WPF_bazowy!AJ70</f>
        <v>0</v>
      </c>
      <c r="AK75" s="311">
        <f>+Zał.1_WPF_bazowy!AK70</f>
        <v>0</v>
      </c>
      <c r="AL75" s="312">
        <f>+Zał.1_WPF_bazowy!AL70</f>
        <v>0</v>
      </c>
    </row>
    <row r="76" spans="1:253" s="149" customFormat="1" ht="24" outlineLevel="1">
      <c r="A76" s="375"/>
      <c r="B76" s="47">
        <v>12</v>
      </c>
      <c r="C76" s="256"/>
      <c r="D76" s="353" t="s">
        <v>124</v>
      </c>
      <c r="E76" s="252" t="s">
        <v>31</v>
      </c>
      <c r="F76" s="253" t="s">
        <v>31</v>
      </c>
      <c r="G76" s="253" t="s">
        <v>31</v>
      </c>
      <c r="H76" s="321" t="s">
        <v>31</v>
      </c>
      <c r="I76" s="322" t="s">
        <v>31</v>
      </c>
      <c r="J76" s="323" t="s">
        <v>31</v>
      </c>
      <c r="K76" s="323" t="s">
        <v>31</v>
      </c>
      <c r="L76" s="323" t="s">
        <v>31</v>
      </c>
      <c r="M76" s="323" t="s">
        <v>31</v>
      </c>
      <c r="N76" s="323" t="s">
        <v>31</v>
      </c>
      <c r="O76" s="323" t="s">
        <v>31</v>
      </c>
      <c r="P76" s="323" t="s">
        <v>31</v>
      </c>
      <c r="Q76" s="323" t="s">
        <v>31</v>
      </c>
      <c r="R76" s="323" t="s">
        <v>31</v>
      </c>
      <c r="S76" s="323" t="s">
        <v>31</v>
      </c>
      <c r="T76" s="323" t="s">
        <v>31</v>
      </c>
      <c r="U76" s="323" t="s">
        <v>31</v>
      </c>
      <c r="V76" s="323" t="s">
        <v>31</v>
      </c>
      <c r="W76" s="323" t="s">
        <v>31</v>
      </c>
      <c r="X76" s="323" t="s">
        <v>31</v>
      </c>
      <c r="Y76" s="323" t="s">
        <v>31</v>
      </c>
      <c r="Z76" s="323" t="s">
        <v>31</v>
      </c>
      <c r="AA76" s="323" t="s">
        <v>31</v>
      </c>
      <c r="AB76" s="323" t="s">
        <v>31</v>
      </c>
      <c r="AC76" s="323" t="s">
        <v>31</v>
      </c>
      <c r="AD76" s="323" t="s">
        <v>31</v>
      </c>
      <c r="AE76" s="323" t="s">
        <v>31</v>
      </c>
      <c r="AF76" s="323" t="s">
        <v>31</v>
      </c>
      <c r="AG76" s="323" t="s">
        <v>31</v>
      </c>
      <c r="AH76" s="323" t="s">
        <v>31</v>
      </c>
      <c r="AI76" s="323" t="s">
        <v>31</v>
      </c>
      <c r="AJ76" s="323" t="s">
        <v>31</v>
      </c>
      <c r="AK76" s="323" t="s">
        <v>31</v>
      </c>
      <c r="AL76" s="324" t="s">
        <v>31</v>
      </c>
    </row>
    <row r="77" spans="1:253" ht="24" outlineLevel="2">
      <c r="A77" s="375"/>
      <c r="B77" s="48" t="s">
        <v>196</v>
      </c>
      <c r="C77" s="257"/>
      <c r="D77" s="355" t="s">
        <v>460</v>
      </c>
      <c r="E77" s="246">
        <f>Zał.1_WPF_bazowy!E72</f>
        <v>0</v>
      </c>
      <c r="F77" s="247">
        <f>Zał.1_WPF_bazowy!F72</f>
        <v>0</v>
      </c>
      <c r="G77" s="247">
        <f>Zał.1_WPF_bazowy!G72</f>
        <v>0</v>
      </c>
      <c r="H77" s="309">
        <f>Zał.1_WPF_bazowy!H72</f>
        <v>0</v>
      </c>
      <c r="I77" s="310">
        <f>+Zał.1_WPF_bazowy!I72</f>
        <v>255982</v>
      </c>
      <c r="J77" s="311">
        <f>+Zał.1_WPF_bazowy!J72</f>
        <v>0</v>
      </c>
      <c r="K77" s="311">
        <f>+Zał.1_WPF_bazowy!K72</f>
        <v>0</v>
      </c>
      <c r="L77" s="311">
        <f>+Zał.1_WPF_bazowy!L72</f>
        <v>0</v>
      </c>
      <c r="M77" s="311">
        <f>+Zał.1_WPF_bazowy!M72</f>
        <v>0</v>
      </c>
      <c r="N77" s="311">
        <f>+Zał.1_WPF_bazowy!N72</f>
        <v>0</v>
      </c>
      <c r="O77" s="311">
        <f>+Zał.1_WPF_bazowy!O72</f>
        <v>0</v>
      </c>
      <c r="P77" s="311">
        <f>+Zał.1_WPF_bazowy!P72</f>
        <v>0</v>
      </c>
      <c r="Q77" s="311">
        <f>+Zał.1_WPF_bazowy!Q72</f>
        <v>0</v>
      </c>
      <c r="R77" s="311">
        <f>+Zał.1_WPF_bazowy!R72</f>
        <v>0</v>
      </c>
      <c r="S77" s="311">
        <f>+Zał.1_WPF_bazowy!S72</f>
        <v>0</v>
      </c>
      <c r="T77" s="311">
        <f>+Zał.1_WPF_bazowy!T72</f>
        <v>0</v>
      </c>
      <c r="U77" s="311">
        <f>+Zał.1_WPF_bazowy!U72</f>
        <v>0</v>
      </c>
      <c r="V77" s="311">
        <f>+Zał.1_WPF_bazowy!V72</f>
        <v>0</v>
      </c>
      <c r="W77" s="311">
        <f>+Zał.1_WPF_bazowy!W72</f>
        <v>0</v>
      </c>
      <c r="X77" s="311">
        <f>+Zał.1_WPF_bazowy!X72</f>
        <v>0</v>
      </c>
      <c r="Y77" s="311">
        <f>+Zał.1_WPF_bazowy!Y72</f>
        <v>0</v>
      </c>
      <c r="Z77" s="311">
        <f>+Zał.1_WPF_bazowy!Z72</f>
        <v>0</v>
      </c>
      <c r="AA77" s="311">
        <f>+Zał.1_WPF_bazowy!AA72</f>
        <v>0</v>
      </c>
      <c r="AB77" s="311">
        <f>+Zał.1_WPF_bazowy!AB72</f>
        <v>0</v>
      </c>
      <c r="AC77" s="311">
        <f>+Zał.1_WPF_bazowy!AC72</f>
        <v>0</v>
      </c>
      <c r="AD77" s="311">
        <f>+Zał.1_WPF_bazowy!AD72</f>
        <v>0</v>
      </c>
      <c r="AE77" s="311">
        <f>+Zał.1_WPF_bazowy!AE72</f>
        <v>0</v>
      </c>
      <c r="AF77" s="311">
        <f>+Zał.1_WPF_bazowy!AF72</f>
        <v>0</v>
      </c>
      <c r="AG77" s="311">
        <f>+Zał.1_WPF_bazowy!AG72</f>
        <v>0</v>
      </c>
      <c r="AH77" s="311">
        <f>+Zał.1_WPF_bazowy!AH72</f>
        <v>0</v>
      </c>
      <c r="AI77" s="311">
        <f>+Zał.1_WPF_bazowy!AI72</f>
        <v>0</v>
      </c>
      <c r="AJ77" s="311">
        <f>+Zał.1_WPF_bazowy!AJ72</f>
        <v>0</v>
      </c>
      <c r="AK77" s="311">
        <f>+Zał.1_WPF_bazowy!AK72</f>
        <v>0</v>
      </c>
      <c r="AL77" s="312">
        <f>+Zał.1_WPF_bazowy!AL72</f>
        <v>0</v>
      </c>
    </row>
    <row r="78" spans="1:253" outlineLevel="2">
      <c r="A78" s="375"/>
      <c r="B78" s="48" t="s">
        <v>126</v>
      </c>
      <c r="C78" s="257"/>
      <c r="D78" s="356" t="s">
        <v>252</v>
      </c>
      <c r="E78" s="246">
        <f>Zał.1_WPF_bazowy!E73</f>
        <v>0</v>
      </c>
      <c r="F78" s="247">
        <f>Zał.1_WPF_bazowy!F73</f>
        <v>0</v>
      </c>
      <c r="G78" s="247">
        <f>Zał.1_WPF_bazowy!G73</f>
        <v>0</v>
      </c>
      <c r="H78" s="309">
        <f>Zał.1_WPF_bazowy!H73</f>
        <v>0</v>
      </c>
      <c r="I78" s="310">
        <f>+Zał.1_WPF_bazowy!I73</f>
        <v>232815</v>
      </c>
      <c r="J78" s="311">
        <f>+Zał.1_WPF_bazowy!J73</f>
        <v>0</v>
      </c>
      <c r="K78" s="311">
        <f>+Zał.1_WPF_bazowy!K73</f>
        <v>0</v>
      </c>
      <c r="L78" s="311">
        <f>+Zał.1_WPF_bazowy!L73</f>
        <v>0</v>
      </c>
      <c r="M78" s="311">
        <f>+Zał.1_WPF_bazowy!M73</f>
        <v>0</v>
      </c>
      <c r="N78" s="311">
        <f>+Zał.1_WPF_bazowy!N73</f>
        <v>0</v>
      </c>
      <c r="O78" s="311">
        <f>+Zał.1_WPF_bazowy!O73</f>
        <v>0</v>
      </c>
      <c r="P78" s="311">
        <f>+Zał.1_WPF_bazowy!P73</f>
        <v>0</v>
      </c>
      <c r="Q78" s="311">
        <f>+Zał.1_WPF_bazowy!Q73</f>
        <v>0</v>
      </c>
      <c r="R78" s="311">
        <f>+Zał.1_WPF_bazowy!R73</f>
        <v>0</v>
      </c>
      <c r="S78" s="311">
        <f>+Zał.1_WPF_bazowy!S73</f>
        <v>0</v>
      </c>
      <c r="T78" s="311">
        <f>+Zał.1_WPF_bazowy!T73</f>
        <v>0</v>
      </c>
      <c r="U78" s="311">
        <f>+Zał.1_WPF_bazowy!U73</f>
        <v>0</v>
      </c>
      <c r="V78" s="311">
        <f>+Zał.1_WPF_bazowy!V73</f>
        <v>0</v>
      </c>
      <c r="W78" s="311">
        <f>+Zał.1_WPF_bazowy!W73</f>
        <v>0</v>
      </c>
      <c r="X78" s="311">
        <f>+Zał.1_WPF_bazowy!X73</f>
        <v>0</v>
      </c>
      <c r="Y78" s="311">
        <f>+Zał.1_WPF_bazowy!Y73</f>
        <v>0</v>
      </c>
      <c r="Z78" s="311">
        <f>+Zał.1_WPF_bazowy!Z73</f>
        <v>0</v>
      </c>
      <c r="AA78" s="311">
        <f>+Zał.1_WPF_bazowy!AA73</f>
        <v>0</v>
      </c>
      <c r="AB78" s="311">
        <f>+Zał.1_WPF_bazowy!AB73</f>
        <v>0</v>
      </c>
      <c r="AC78" s="311">
        <f>+Zał.1_WPF_bazowy!AC73</f>
        <v>0</v>
      </c>
      <c r="AD78" s="311">
        <f>+Zał.1_WPF_bazowy!AD73</f>
        <v>0</v>
      </c>
      <c r="AE78" s="311">
        <f>+Zał.1_WPF_bazowy!AE73</f>
        <v>0</v>
      </c>
      <c r="AF78" s="311">
        <f>+Zał.1_WPF_bazowy!AF73</f>
        <v>0</v>
      </c>
      <c r="AG78" s="311">
        <f>+Zał.1_WPF_bazowy!AG73</f>
        <v>0</v>
      </c>
      <c r="AH78" s="311">
        <f>+Zał.1_WPF_bazowy!AH73</f>
        <v>0</v>
      </c>
      <c r="AI78" s="311">
        <f>+Zał.1_WPF_bazowy!AI73</f>
        <v>0</v>
      </c>
      <c r="AJ78" s="311">
        <f>+Zał.1_WPF_bazowy!AJ73</f>
        <v>0</v>
      </c>
      <c r="AK78" s="311">
        <f>+Zał.1_WPF_bazowy!AK73</f>
        <v>0</v>
      </c>
      <c r="AL78" s="312">
        <f>+Zał.1_WPF_bazowy!AL73</f>
        <v>0</v>
      </c>
    </row>
    <row r="79" spans="1:253" ht="24" outlineLevel="2">
      <c r="A79" s="375"/>
      <c r="B79" s="48" t="s">
        <v>128</v>
      </c>
      <c r="C79" s="257"/>
      <c r="D79" s="357" t="s">
        <v>253</v>
      </c>
      <c r="E79" s="246">
        <f>Zał.1_WPF_bazowy!E74</f>
        <v>0</v>
      </c>
      <c r="F79" s="247">
        <f>Zał.1_WPF_bazowy!F74</f>
        <v>0</v>
      </c>
      <c r="G79" s="247">
        <f>Zał.1_WPF_bazowy!G74</f>
        <v>0</v>
      </c>
      <c r="H79" s="309">
        <f>Zał.1_WPF_bazowy!H74</f>
        <v>0</v>
      </c>
      <c r="I79" s="310">
        <f>+Zał.1_WPF_bazowy!I74</f>
        <v>212464</v>
      </c>
      <c r="J79" s="311">
        <f>+Zał.1_WPF_bazowy!J74</f>
        <v>0</v>
      </c>
      <c r="K79" s="311">
        <f>+Zał.1_WPF_bazowy!K74</f>
        <v>0</v>
      </c>
      <c r="L79" s="311">
        <f>+Zał.1_WPF_bazowy!L74</f>
        <v>0</v>
      </c>
      <c r="M79" s="311">
        <f>+Zał.1_WPF_bazowy!M74</f>
        <v>0</v>
      </c>
      <c r="N79" s="311">
        <f>+Zał.1_WPF_bazowy!N74</f>
        <v>0</v>
      </c>
      <c r="O79" s="311">
        <f>+Zał.1_WPF_bazowy!O74</f>
        <v>0</v>
      </c>
      <c r="P79" s="311">
        <f>+Zał.1_WPF_bazowy!P74</f>
        <v>0</v>
      </c>
      <c r="Q79" s="311">
        <f>+Zał.1_WPF_bazowy!Q74</f>
        <v>0</v>
      </c>
      <c r="R79" s="311">
        <f>+Zał.1_WPF_bazowy!R74</f>
        <v>0</v>
      </c>
      <c r="S79" s="311">
        <f>+Zał.1_WPF_bazowy!S74</f>
        <v>0</v>
      </c>
      <c r="T79" s="311">
        <f>+Zał.1_WPF_bazowy!T74</f>
        <v>0</v>
      </c>
      <c r="U79" s="311">
        <f>+Zał.1_WPF_bazowy!U74</f>
        <v>0</v>
      </c>
      <c r="V79" s="311">
        <f>+Zał.1_WPF_bazowy!V74</f>
        <v>0</v>
      </c>
      <c r="W79" s="311">
        <f>+Zał.1_WPF_bazowy!W74</f>
        <v>0</v>
      </c>
      <c r="X79" s="311">
        <f>+Zał.1_WPF_bazowy!X74</f>
        <v>0</v>
      </c>
      <c r="Y79" s="311">
        <f>+Zał.1_WPF_bazowy!Y74</f>
        <v>0</v>
      </c>
      <c r="Z79" s="311">
        <f>+Zał.1_WPF_bazowy!Z74</f>
        <v>0</v>
      </c>
      <c r="AA79" s="311">
        <f>+Zał.1_WPF_bazowy!AA74</f>
        <v>0</v>
      </c>
      <c r="AB79" s="311">
        <f>+Zał.1_WPF_bazowy!AB74</f>
        <v>0</v>
      </c>
      <c r="AC79" s="311">
        <f>+Zał.1_WPF_bazowy!AC74</f>
        <v>0</v>
      </c>
      <c r="AD79" s="311">
        <f>+Zał.1_WPF_bazowy!AD74</f>
        <v>0</v>
      </c>
      <c r="AE79" s="311">
        <f>+Zał.1_WPF_bazowy!AE74</f>
        <v>0</v>
      </c>
      <c r="AF79" s="311">
        <f>+Zał.1_WPF_bazowy!AF74</f>
        <v>0</v>
      </c>
      <c r="AG79" s="311">
        <f>+Zał.1_WPF_bazowy!AG74</f>
        <v>0</v>
      </c>
      <c r="AH79" s="311">
        <f>+Zał.1_WPF_bazowy!AH74</f>
        <v>0</v>
      </c>
      <c r="AI79" s="311">
        <f>+Zał.1_WPF_bazowy!AI74</f>
        <v>0</v>
      </c>
      <c r="AJ79" s="311">
        <f>+Zał.1_WPF_bazowy!AJ74</f>
        <v>0</v>
      </c>
      <c r="AK79" s="311">
        <f>+Zał.1_WPF_bazowy!AK74</f>
        <v>0</v>
      </c>
      <c r="AL79" s="312">
        <f>+Zał.1_WPF_bazowy!AL74</f>
        <v>0</v>
      </c>
    </row>
    <row r="80" spans="1:253" ht="24" outlineLevel="2">
      <c r="A80" s="375"/>
      <c r="B80" s="48" t="s">
        <v>197</v>
      </c>
      <c r="C80" s="257"/>
      <c r="D80" s="355" t="s">
        <v>461</v>
      </c>
      <c r="E80" s="246">
        <f>Zał.1_WPF_bazowy!E75</f>
        <v>0</v>
      </c>
      <c r="F80" s="247">
        <f>Zał.1_WPF_bazowy!F75</f>
        <v>0</v>
      </c>
      <c r="G80" s="247">
        <f>Zał.1_WPF_bazowy!G75</f>
        <v>0</v>
      </c>
      <c r="H80" s="309">
        <f>Zał.1_WPF_bazowy!H75</f>
        <v>0</v>
      </c>
      <c r="I80" s="310">
        <f>+Zał.1_WPF_bazowy!I75</f>
        <v>972461</v>
      </c>
      <c r="J80" s="311">
        <f>+Zał.1_WPF_bazowy!J75</f>
        <v>3150344</v>
      </c>
      <c r="K80" s="311">
        <f>+Zał.1_WPF_bazowy!K75</f>
        <v>0</v>
      </c>
      <c r="L80" s="311">
        <f>+Zał.1_WPF_bazowy!L75</f>
        <v>0</v>
      </c>
      <c r="M80" s="311">
        <f>+Zał.1_WPF_bazowy!M75</f>
        <v>0</v>
      </c>
      <c r="N80" s="311">
        <f>+Zał.1_WPF_bazowy!N75</f>
        <v>0</v>
      </c>
      <c r="O80" s="311">
        <f>+Zał.1_WPF_bazowy!O75</f>
        <v>0</v>
      </c>
      <c r="P80" s="311">
        <f>+Zał.1_WPF_bazowy!P75</f>
        <v>0</v>
      </c>
      <c r="Q80" s="311">
        <f>+Zał.1_WPF_bazowy!Q75</f>
        <v>0</v>
      </c>
      <c r="R80" s="311">
        <f>+Zał.1_WPF_bazowy!R75</f>
        <v>0</v>
      </c>
      <c r="S80" s="311">
        <f>+Zał.1_WPF_bazowy!S75</f>
        <v>0</v>
      </c>
      <c r="T80" s="311">
        <f>+Zał.1_WPF_bazowy!T75</f>
        <v>0</v>
      </c>
      <c r="U80" s="311">
        <f>+Zał.1_WPF_bazowy!U75</f>
        <v>0</v>
      </c>
      <c r="V80" s="311">
        <f>+Zał.1_WPF_bazowy!V75</f>
        <v>0</v>
      </c>
      <c r="W80" s="311">
        <f>+Zał.1_WPF_bazowy!W75</f>
        <v>0</v>
      </c>
      <c r="X80" s="311">
        <f>+Zał.1_WPF_bazowy!X75</f>
        <v>0</v>
      </c>
      <c r="Y80" s="311">
        <f>+Zał.1_WPF_bazowy!Y75</f>
        <v>0</v>
      </c>
      <c r="Z80" s="311">
        <f>+Zał.1_WPF_bazowy!Z75</f>
        <v>0</v>
      </c>
      <c r="AA80" s="311">
        <f>+Zał.1_WPF_bazowy!AA75</f>
        <v>0</v>
      </c>
      <c r="AB80" s="311">
        <f>+Zał.1_WPF_bazowy!AB75</f>
        <v>0</v>
      </c>
      <c r="AC80" s="311">
        <f>+Zał.1_WPF_bazowy!AC75</f>
        <v>0</v>
      </c>
      <c r="AD80" s="311">
        <f>+Zał.1_WPF_bazowy!AD75</f>
        <v>0</v>
      </c>
      <c r="AE80" s="311">
        <f>+Zał.1_WPF_bazowy!AE75</f>
        <v>0</v>
      </c>
      <c r="AF80" s="311">
        <f>+Zał.1_WPF_bazowy!AF75</f>
        <v>0</v>
      </c>
      <c r="AG80" s="311">
        <f>+Zał.1_WPF_bazowy!AG75</f>
        <v>0</v>
      </c>
      <c r="AH80" s="311">
        <f>+Zał.1_WPF_bazowy!AH75</f>
        <v>0</v>
      </c>
      <c r="AI80" s="311">
        <f>+Zał.1_WPF_bazowy!AI75</f>
        <v>0</v>
      </c>
      <c r="AJ80" s="311">
        <f>+Zał.1_WPF_bazowy!AJ75</f>
        <v>0</v>
      </c>
      <c r="AK80" s="311">
        <f>+Zał.1_WPF_bazowy!AK75</f>
        <v>0</v>
      </c>
      <c r="AL80" s="312">
        <f>+Zał.1_WPF_bazowy!AL75</f>
        <v>0</v>
      </c>
    </row>
    <row r="81" spans="1:38" outlineLevel="2">
      <c r="A81" s="375"/>
      <c r="B81" s="48" t="s">
        <v>131</v>
      </c>
      <c r="C81" s="257"/>
      <c r="D81" s="356" t="s">
        <v>252</v>
      </c>
      <c r="E81" s="246">
        <f>Zał.1_WPF_bazowy!E76</f>
        <v>0</v>
      </c>
      <c r="F81" s="247">
        <f>Zał.1_WPF_bazowy!F76</f>
        <v>0</v>
      </c>
      <c r="G81" s="247">
        <f>Zał.1_WPF_bazowy!G76</f>
        <v>0</v>
      </c>
      <c r="H81" s="309">
        <f>Zał.1_WPF_bazowy!H76</f>
        <v>0</v>
      </c>
      <c r="I81" s="310">
        <f>+Zał.1_WPF_bazowy!I76</f>
        <v>972461</v>
      </c>
      <c r="J81" s="311">
        <f>+Zał.1_WPF_bazowy!J76</f>
        <v>3150344</v>
      </c>
      <c r="K81" s="311">
        <f>+Zał.1_WPF_bazowy!K76</f>
        <v>0</v>
      </c>
      <c r="L81" s="311">
        <f>+Zał.1_WPF_bazowy!L76</f>
        <v>0</v>
      </c>
      <c r="M81" s="311">
        <f>+Zał.1_WPF_bazowy!M76</f>
        <v>0</v>
      </c>
      <c r="N81" s="311">
        <f>+Zał.1_WPF_bazowy!N76</f>
        <v>0</v>
      </c>
      <c r="O81" s="311">
        <f>+Zał.1_WPF_bazowy!O76</f>
        <v>0</v>
      </c>
      <c r="P81" s="311">
        <f>+Zał.1_WPF_bazowy!P76</f>
        <v>0</v>
      </c>
      <c r="Q81" s="311">
        <f>+Zał.1_WPF_bazowy!Q76</f>
        <v>0</v>
      </c>
      <c r="R81" s="311">
        <f>+Zał.1_WPF_bazowy!R76</f>
        <v>0</v>
      </c>
      <c r="S81" s="311">
        <f>+Zał.1_WPF_bazowy!S76</f>
        <v>0</v>
      </c>
      <c r="T81" s="311">
        <f>+Zał.1_WPF_bazowy!T76</f>
        <v>0</v>
      </c>
      <c r="U81" s="311">
        <f>+Zał.1_WPF_bazowy!U76</f>
        <v>0</v>
      </c>
      <c r="V81" s="311">
        <f>+Zał.1_WPF_bazowy!V76</f>
        <v>0</v>
      </c>
      <c r="W81" s="311">
        <f>+Zał.1_WPF_bazowy!W76</f>
        <v>0</v>
      </c>
      <c r="X81" s="311">
        <f>+Zał.1_WPF_bazowy!X76</f>
        <v>0</v>
      </c>
      <c r="Y81" s="311">
        <f>+Zał.1_WPF_bazowy!Y76</f>
        <v>0</v>
      </c>
      <c r="Z81" s="311">
        <f>+Zał.1_WPF_bazowy!Z76</f>
        <v>0</v>
      </c>
      <c r="AA81" s="311">
        <f>+Zał.1_WPF_bazowy!AA76</f>
        <v>0</v>
      </c>
      <c r="AB81" s="311">
        <f>+Zał.1_WPF_bazowy!AB76</f>
        <v>0</v>
      </c>
      <c r="AC81" s="311">
        <f>+Zał.1_WPF_bazowy!AC76</f>
        <v>0</v>
      </c>
      <c r="AD81" s="311">
        <f>+Zał.1_WPF_bazowy!AD76</f>
        <v>0</v>
      </c>
      <c r="AE81" s="311">
        <f>+Zał.1_WPF_bazowy!AE76</f>
        <v>0</v>
      </c>
      <c r="AF81" s="311">
        <f>+Zał.1_WPF_bazowy!AF76</f>
        <v>0</v>
      </c>
      <c r="AG81" s="311">
        <f>+Zał.1_WPF_bazowy!AG76</f>
        <v>0</v>
      </c>
      <c r="AH81" s="311">
        <f>+Zał.1_WPF_bazowy!AH76</f>
        <v>0</v>
      </c>
      <c r="AI81" s="311">
        <f>+Zał.1_WPF_bazowy!AI76</f>
        <v>0</v>
      </c>
      <c r="AJ81" s="311">
        <f>+Zał.1_WPF_bazowy!AJ76</f>
        <v>0</v>
      </c>
      <c r="AK81" s="311">
        <f>+Zał.1_WPF_bazowy!AK76</f>
        <v>0</v>
      </c>
      <c r="AL81" s="312">
        <f>+Zał.1_WPF_bazowy!AL76</f>
        <v>0</v>
      </c>
    </row>
    <row r="82" spans="1:38" ht="24" outlineLevel="2">
      <c r="A82" s="375"/>
      <c r="B82" s="48" t="s">
        <v>133</v>
      </c>
      <c r="C82" s="257"/>
      <c r="D82" s="357" t="s">
        <v>253</v>
      </c>
      <c r="E82" s="246">
        <f>Zał.1_WPF_bazowy!E77</f>
        <v>0</v>
      </c>
      <c r="F82" s="247">
        <f>Zał.1_WPF_bazowy!F77</f>
        <v>0</v>
      </c>
      <c r="G82" s="247">
        <f>Zał.1_WPF_bazowy!G77</f>
        <v>0</v>
      </c>
      <c r="H82" s="309">
        <f>Zał.1_WPF_bazowy!H77</f>
        <v>0</v>
      </c>
      <c r="I82" s="310">
        <f>+Zał.1_WPF_bazowy!I77</f>
        <v>766427.52</v>
      </c>
      <c r="J82" s="311">
        <f>+Zał.1_WPF_bazowy!J77</f>
        <v>671413</v>
      </c>
      <c r="K82" s="311">
        <f>+Zał.1_WPF_bazowy!K77</f>
        <v>0</v>
      </c>
      <c r="L82" s="311">
        <f>+Zał.1_WPF_bazowy!L77</f>
        <v>0</v>
      </c>
      <c r="M82" s="311">
        <f>+Zał.1_WPF_bazowy!M77</f>
        <v>0</v>
      </c>
      <c r="N82" s="311">
        <f>+Zał.1_WPF_bazowy!N77</f>
        <v>0</v>
      </c>
      <c r="O82" s="311">
        <f>+Zał.1_WPF_bazowy!O77</f>
        <v>0</v>
      </c>
      <c r="P82" s="311">
        <f>+Zał.1_WPF_bazowy!P77</f>
        <v>0</v>
      </c>
      <c r="Q82" s="311">
        <f>+Zał.1_WPF_bazowy!Q77</f>
        <v>0</v>
      </c>
      <c r="R82" s="311">
        <f>+Zał.1_WPF_bazowy!R77</f>
        <v>0</v>
      </c>
      <c r="S82" s="311">
        <f>+Zał.1_WPF_bazowy!S77</f>
        <v>0</v>
      </c>
      <c r="T82" s="311">
        <f>+Zał.1_WPF_bazowy!T77</f>
        <v>0</v>
      </c>
      <c r="U82" s="311">
        <f>+Zał.1_WPF_bazowy!U77</f>
        <v>0</v>
      </c>
      <c r="V82" s="311">
        <f>+Zał.1_WPF_bazowy!V77</f>
        <v>0</v>
      </c>
      <c r="W82" s="311">
        <f>+Zał.1_WPF_bazowy!W77</f>
        <v>0</v>
      </c>
      <c r="X82" s="311">
        <f>+Zał.1_WPF_bazowy!X77</f>
        <v>0</v>
      </c>
      <c r="Y82" s="311">
        <f>+Zał.1_WPF_bazowy!Y77</f>
        <v>0</v>
      </c>
      <c r="Z82" s="311">
        <f>+Zał.1_WPF_bazowy!Z77</f>
        <v>0</v>
      </c>
      <c r="AA82" s="311">
        <f>+Zał.1_WPF_bazowy!AA77</f>
        <v>0</v>
      </c>
      <c r="AB82" s="311">
        <f>+Zał.1_WPF_bazowy!AB77</f>
        <v>0</v>
      </c>
      <c r="AC82" s="311">
        <f>+Zał.1_WPF_bazowy!AC77</f>
        <v>0</v>
      </c>
      <c r="AD82" s="311">
        <f>+Zał.1_WPF_bazowy!AD77</f>
        <v>0</v>
      </c>
      <c r="AE82" s="311">
        <f>+Zał.1_WPF_bazowy!AE77</f>
        <v>0</v>
      </c>
      <c r="AF82" s="311">
        <f>+Zał.1_WPF_bazowy!AF77</f>
        <v>0</v>
      </c>
      <c r="AG82" s="311">
        <f>+Zał.1_WPF_bazowy!AG77</f>
        <v>0</v>
      </c>
      <c r="AH82" s="311">
        <f>+Zał.1_WPF_bazowy!AH77</f>
        <v>0</v>
      </c>
      <c r="AI82" s="311">
        <f>+Zał.1_WPF_bazowy!AI77</f>
        <v>0</v>
      </c>
      <c r="AJ82" s="311">
        <f>+Zał.1_WPF_bazowy!AJ77</f>
        <v>0</v>
      </c>
      <c r="AK82" s="311">
        <f>+Zał.1_WPF_bazowy!AK77</f>
        <v>0</v>
      </c>
      <c r="AL82" s="312">
        <f>+Zał.1_WPF_bazowy!AL77</f>
        <v>0</v>
      </c>
    </row>
    <row r="83" spans="1:38" ht="24" outlineLevel="2">
      <c r="A83" s="375"/>
      <c r="B83" s="48" t="s">
        <v>198</v>
      </c>
      <c r="C83" s="257"/>
      <c r="D83" s="355" t="s">
        <v>254</v>
      </c>
      <c r="E83" s="246">
        <f>Zał.1_WPF_bazowy!E78</f>
        <v>0</v>
      </c>
      <c r="F83" s="247">
        <f>Zał.1_WPF_bazowy!F78</f>
        <v>0</v>
      </c>
      <c r="G83" s="247">
        <f>Zał.1_WPF_bazowy!G78</f>
        <v>0</v>
      </c>
      <c r="H83" s="309">
        <f>Zał.1_WPF_bazowy!H78</f>
        <v>0</v>
      </c>
      <c r="I83" s="310">
        <f>+Zał.1_WPF_bazowy!I78</f>
        <v>401471</v>
      </c>
      <c r="J83" s="311">
        <f>+Zał.1_WPF_bazowy!J78</f>
        <v>23010</v>
      </c>
      <c r="K83" s="311">
        <f>+Zał.1_WPF_bazowy!K78</f>
        <v>0</v>
      </c>
      <c r="L83" s="311">
        <f>+Zał.1_WPF_bazowy!L78</f>
        <v>0</v>
      </c>
      <c r="M83" s="311">
        <f>+Zał.1_WPF_bazowy!M78</f>
        <v>0</v>
      </c>
      <c r="N83" s="311">
        <f>+Zał.1_WPF_bazowy!N78</f>
        <v>0</v>
      </c>
      <c r="O83" s="311">
        <f>+Zał.1_WPF_bazowy!O78</f>
        <v>0</v>
      </c>
      <c r="P83" s="311">
        <f>+Zał.1_WPF_bazowy!P78</f>
        <v>0</v>
      </c>
      <c r="Q83" s="311">
        <f>+Zał.1_WPF_bazowy!Q78</f>
        <v>0</v>
      </c>
      <c r="R83" s="311">
        <f>+Zał.1_WPF_bazowy!R78</f>
        <v>0</v>
      </c>
      <c r="S83" s="311">
        <f>+Zał.1_WPF_bazowy!S78</f>
        <v>0</v>
      </c>
      <c r="T83" s="311">
        <f>+Zał.1_WPF_bazowy!T78</f>
        <v>0</v>
      </c>
      <c r="U83" s="311">
        <f>+Zał.1_WPF_bazowy!U78</f>
        <v>0</v>
      </c>
      <c r="V83" s="311">
        <f>+Zał.1_WPF_bazowy!V78</f>
        <v>0</v>
      </c>
      <c r="W83" s="311">
        <f>+Zał.1_WPF_bazowy!W78</f>
        <v>0</v>
      </c>
      <c r="X83" s="311">
        <f>+Zał.1_WPF_bazowy!X78</f>
        <v>0</v>
      </c>
      <c r="Y83" s="311">
        <f>+Zał.1_WPF_bazowy!Y78</f>
        <v>0</v>
      </c>
      <c r="Z83" s="311">
        <f>+Zał.1_WPF_bazowy!Z78</f>
        <v>0</v>
      </c>
      <c r="AA83" s="311">
        <f>+Zał.1_WPF_bazowy!AA78</f>
        <v>0</v>
      </c>
      <c r="AB83" s="311">
        <f>+Zał.1_WPF_bazowy!AB78</f>
        <v>0</v>
      </c>
      <c r="AC83" s="311">
        <f>+Zał.1_WPF_bazowy!AC78</f>
        <v>0</v>
      </c>
      <c r="AD83" s="311">
        <f>+Zał.1_WPF_bazowy!AD78</f>
        <v>0</v>
      </c>
      <c r="AE83" s="311">
        <f>+Zał.1_WPF_bazowy!AE78</f>
        <v>0</v>
      </c>
      <c r="AF83" s="311">
        <f>+Zał.1_WPF_bazowy!AF78</f>
        <v>0</v>
      </c>
      <c r="AG83" s="311">
        <f>+Zał.1_WPF_bazowy!AG78</f>
        <v>0</v>
      </c>
      <c r="AH83" s="311">
        <f>+Zał.1_WPF_bazowy!AH78</f>
        <v>0</v>
      </c>
      <c r="AI83" s="311">
        <f>+Zał.1_WPF_bazowy!AI78</f>
        <v>0</v>
      </c>
      <c r="AJ83" s="311">
        <f>+Zał.1_WPF_bazowy!AJ78</f>
        <v>0</v>
      </c>
      <c r="AK83" s="311">
        <f>+Zał.1_WPF_bazowy!AK78</f>
        <v>0</v>
      </c>
      <c r="AL83" s="312">
        <f>+Zał.1_WPF_bazowy!AL78</f>
        <v>0</v>
      </c>
    </row>
    <row r="84" spans="1:38" outlineLevel="2">
      <c r="A84" s="375"/>
      <c r="B84" s="48" t="s">
        <v>136</v>
      </c>
      <c r="C84" s="257"/>
      <c r="D84" s="356" t="s">
        <v>256</v>
      </c>
      <c r="E84" s="246">
        <f>Zał.1_WPF_bazowy!E79</f>
        <v>0</v>
      </c>
      <c r="F84" s="247">
        <f>Zał.1_WPF_bazowy!F79</f>
        <v>0</v>
      </c>
      <c r="G84" s="247">
        <f>Zał.1_WPF_bazowy!G79</f>
        <v>0</v>
      </c>
      <c r="H84" s="309">
        <f>Zał.1_WPF_bazowy!H79</f>
        <v>0</v>
      </c>
      <c r="I84" s="310">
        <f>+Zał.1_WPF_bazowy!I79</f>
        <v>313684</v>
      </c>
      <c r="J84" s="311">
        <f>+Zał.1_WPF_bazowy!J79</f>
        <v>23010</v>
      </c>
      <c r="K84" s="311">
        <f>+Zał.1_WPF_bazowy!K79</f>
        <v>0</v>
      </c>
      <c r="L84" s="311">
        <f>+Zał.1_WPF_bazowy!L79</f>
        <v>0</v>
      </c>
      <c r="M84" s="311">
        <f>+Zał.1_WPF_bazowy!M79</f>
        <v>0</v>
      </c>
      <c r="N84" s="311">
        <f>+Zał.1_WPF_bazowy!N79</f>
        <v>0</v>
      </c>
      <c r="O84" s="311">
        <f>+Zał.1_WPF_bazowy!O79</f>
        <v>0</v>
      </c>
      <c r="P84" s="311">
        <f>+Zał.1_WPF_bazowy!P79</f>
        <v>0</v>
      </c>
      <c r="Q84" s="311">
        <f>+Zał.1_WPF_bazowy!Q79</f>
        <v>0</v>
      </c>
      <c r="R84" s="311">
        <f>+Zał.1_WPF_bazowy!R79</f>
        <v>0</v>
      </c>
      <c r="S84" s="311">
        <f>+Zał.1_WPF_bazowy!S79</f>
        <v>0</v>
      </c>
      <c r="T84" s="311">
        <f>+Zał.1_WPF_bazowy!T79</f>
        <v>0</v>
      </c>
      <c r="U84" s="311">
        <f>+Zał.1_WPF_bazowy!U79</f>
        <v>0</v>
      </c>
      <c r="V84" s="311">
        <f>+Zał.1_WPF_bazowy!V79</f>
        <v>0</v>
      </c>
      <c r="W84" s="311">
        <f>+Zał.1_WPF_bazowy!W79</f>
        <v>0</v>
      </c>
      <c r="X84" s="311">
        <f>+Zał.1_WPF_bazowy!X79</f>
        <v>0</v>
      </c>
      <c r="Y84" s="311">
        <f>+Zał.1_WPF_bazowy!Y79</f>
        <v>0</v>
      </c>
      <c r="Z84" s="311">
        <f>+Zał.1_WPF_bazowy!Z79</f>
        <v>0</v>
      </c>
      <c r="AA84" s="311">
        <f>+Zał.1_WPF_bazowy!AA79</f>
        <v>0</v>
      </c>
      <c r="AB84" s="311">
        <f>+Zał.1_WPF_bazowy!AB79</f>
        <v>0</v>
      </c>
      <c r="AC84" s="311">
        <f>+Zał.1_WPF_bazowy!AC79</f>
        <v>0</v>
      </c>
      <c r="AD84" s="311">
        <f>+Zał.1_WPF_bazowy!AD79</f>
        <v>0</v>
      </c>
      <c r="AE84" s="311">
        <f>+Zał.1_WPF_bazowy!AE79</f>
        <v>0</v>
      </c>
      <c r="AF84" s="311">
        <f>+Zał.1_WPF_bazowy!AF79</f>
        <v>0</v>
      </c>
      <c r="AG84" s="311">
        <f>+Zał.1_WPF_bazowy!AG79</f>
        <v>0</v>
      </c>
      <c r="AH84" s="311">
        <f>+Zał.1_WPF_bazowy!AH79</f>
        <v>0</v>
      </c>
      <c r="AI84" s="311">
        <f>+Zał.1_WPF_bazowy!AI79</f>
        <v>0</v>
      </c>
      <c r="AJ84" s="311">
        <f>+Zał.1_WPF_bazowy!AJ79</f>
        <v>0</v>
      </c>
      <c r="AK84" s="311">
        <f>+Zał.1_WPF_bazowy!AK79</f>
        <v>0</v>
      </c>
      <c r="AL84" s="312">
        <f>+Zał.1_WPF_bazowy!AL79</f>
        <v>0</v>
      </c>
    </row>
    <row r="85" spans="1:38" ht="24" outlineLevel="2">
      <c r="A85" s="375"/>
      <c r="B85" s="48" t="s">
        <v>138</v>
      </c>
      <c r="C85" s="257"/>
      <c r="D85" s="356" t="s">
        <v>255</v>
      </c>
      <c r="E85" s="246">
        <f>Zał.1_WPF_bazowy!E80</f>
        <v>0</v>
      </c>
      <c r="F85" s="247">
        <f>Zał.1_WPF_bazowy!F80</f>
        <v>0</v>
      </c>
      <c r="G85" s="247">
        <f>Zał.1_WPF_bazowy!G80</f>
        <v>0</v>
      </c>
      <c r="H85" s="309">
        <f>Zał.1_WPF_bazowy!H80</f>
        <v>0</v>
      </c>
      <c r="I85" s="310">
        <f>+Zał.1_WPF_bazowy!I80</f>
        <v>293323.5</v>
      </c>
      <c r="J85" s="311">
        <f>+Zał.1_WPF_bazowy!J80</f>
        <v>23010</v>
      </c>
      <c r="K85" s="311">
        <f>+Zał.1_WPF_bazowy!K80</f>
        <v>0</v>
      </c>
      <c r="L85" s="311">
        <f>+Zał.1_WPF_bazowy!L80</f>
        <v>0</v>
      </c>
      <c r="M85" s="311">
        <f>+Zał.1_WPF_bazowy!M80</f>
        <v>0</v>
      </c>
      <c r="N85" s="311">
        <f>+Zał.1_WPF_bazowy!N80</f>
        <v>0</v>
      </c>
      <c r="O85" s="311">
        <f>+Zał.1_WPF_bazowy!O80</f>
        <v>0</v>
      </c>
      <c r="P85" s="311">
        <f>+Zał.1_WPF_bazowy!P80</f>
        <v>0</v>
      </c>
      <c r="Q85" s="311">
        <f>+Zał.1_WPF_bazowy!Q80</f>
        <v>0</v>
      </c>
      <c r="R85" s="311">
        <f>+Zał.1_WPF_bazowy!R80</f>
        <v>0</v>
      </c>
      <c r="S85" s="311">
        <f>+Zał.1_WPF_bazowy!S80</f>
        <v>0</v>
      </c>
      <c r="T85" s="311">
        <f>+Zał.1_WPF_bazowy!T80</f>
        <v>0</v>
      </c>
      <c r="U85" s="311">
        <f>+Zał.1_WPF_bazowy!U80</f>
        <v>0</v>
      </c>
      <c r="V85" s="311">
        <f>+Zał.1_WPF_bazowy!V80</f>
        <v>0</v>
      </c>
      <c r="W85" s="311">
        <f>+Zał.1_WPF_bazowy!W80</f>
        <v>0</v>
      </c>
      <c r="X85" s="311">
        <f>+Zał.1_WPF_bazowy!X80</f>
        <v>0</v>
      </c>
      <c r="Y85" s="311">
        <f>+Zał.1_WPF_bazowy!Y80</f>
        <v>0</v>
      </c>
      <c r="Z85" s="311">
        <f>+Zał.1_WPF_bazowy!Z80</f>
        <v>0</v>
      </c>
      <c r="AA85" s="311">
        <f>+Zał.1_WPF_bazowy!AA80</f>
        <v>0</v>
      </c>
      <c r="AB85" s="311">
        <f>+Zał.1_WPF_bazowy!AB80</f>
        <v>0</v>
      </c>
      <c r="AC85" s="311">
        <f>+Zał.1_WPF_bazowy!AC80</f>
        <v>0</v>
      </c>
      <c r="AD85" s="311">
        <f>+Zał.1_WPF_bazowy!AD80</f>
        <v>0</v>
      </c>
      <c r="AE85" s="311">
        <f>+Zał.1_WPF_bazowy!AE80</f>
        <v>0</v>
      </c>
      <c r="AF85" s="311">
        <f>+Zał.1_WPF_bazowy!AF80</f>
        <v>0</v>
      </c>
      <c r="AG85" s="311">
        <f>+Zał.1_WPF_bazowy!AG80</f>
        <v>0</v>
      </c>
      <c r="AH85" s="311">
        <f>+Zał.1_WPF_bazowy!AH80</f>
        <v>0</v>
      </c>
      <c r="AI85" s="311">
        <f>+Zał.1_WPF_bazowy!AI80</f>
        <v>0</v>
      </c>
      <c r="AJ85" s="311">
        <f>+Zał.1_WPF_bazowy!AJ80</f>
        <v>0</v>
      </c>
      <c r="AK85" s="311">
        <f>+Zał.1_WPF_bazowy!AK80</f>
        <v>0</v>
      </c>
      <c r="AL85" s="312">
        <f>+Zał.1_WPF_bazowy!AL80</f>
        <v>0</v>
      </c>
    </row>
    <row r="86" spans="1:38" ht="24" outlineLevel="2">
      <c r="A86" s="375"/>
      <c r="B86" s="48" t="s">
        <v>199</v>
      </c>
      <c r="C86" s="257"/>
      <c r="D86" s="355" t="s">
        <v>257</v>
      </c>
      <c r="E86" s="246">
        <f>Zał.1_WPF_bazowy!E81</f>
        <v>0</v>
      </c>
      <c r="F86" s="247">
        <f>Zał.1_WPF_bazowy!F81</f>
        <v>0</v>
      </c>
      <c r="G86" s="247">
        <f>Zał.1_WPF_bazowy!G81</f>
        <v>0</v>
      </c>
      <c r="H86" s="309">
        <f>Zał.1_WPF_bazowy!H81</f>
        <v>0</v>
      </c>
      <c r="I86" s="310">
        <f>+Zał.1_WPF_bazowy!I81</f>
        <v>2467120</v>
      </c>
      <c r="J86" s="311">
        <f>+Zał.1_WPF_bazowy!J81</f>
        <v>1852242</v>
      </c>
      <c r="K86" s="311">
        <f>+Zał.1_WPF_bazowy!K81</f>
        <v>0</v>
      </c>
      <c r="L86" s="311">
        <f>+Zał.1_WPF_bazowy!L81</f>
        <v>0</v>
      </c>
      <c r="M86" s="311">
        <f>+Zał.1_WPF_bazowy!M81</f>
        <v>0</v>
      </c>
      <c r="N86" s="311">
        <f>+Zał.1_WPF_bazowy!N81</f>
        <v>0</v>
      </c>
      <c r="O86" s="311">
        <f>+Zał.1_WPF_bazowy!O81</f>
        <v>0</v>
      </c>
      <c r="P86" s="311">
        <f>+Zał.1_WPF_bazowy!P81</f>
        <v>0</v>
      </c>
      <c r="Q86" s="311">
        <f>+Zał.1_WPF_bazowy!Q81</f>
        <v>0</v>
      </c>
      <c r="R86" s="311">
        <f>+Zał.1_WPF_bazowy!R81</f>
        <v>0</v>
      </c>
      <c r="S86" s="311">
        <f>+Zał.1_WPF_bazowy!S81</f>
        <v>0</v>
      </c>
      <c r="T86" s="311">
        <f>+Zał.1_WPF_bazowy!T81</f>
        <v>0</v>
      </c>
      <c r="U86" s="311">
        <f>+Zał.1_WPF_bazowy!U81</f>
        <v>0</v>
      </c>
      <c r="V86" s="311">
        <f>+Zał.1_WPF_bazowy!V81</f>
        <v>0</v>
      </c>
      <c r="W86" s="311">
        <f>+Zał.1_WPF_bazowy!W81</f>
        <v>0</v>
      </c>
      <c r="X86" s="311">
        <f>+Zał.1_WPF_bazowy!X81</f>
        <v>0</v>
      </c>
      <c r="Y86" s="311">
        <f>+Zał.1_WPF_bazowy!Y81</f>
        <v>0</v>
      </c>
      <c r="Z86" s="311">
        <f>+Zał.1_WPF_bazowy!Z81</f>
        <v>0</v>
      </c>
      <c r="AA86" s="311">
        <f>+Zał.1_WPF_bazowy!AA81</f>
        <v>0</v>
      </c>
      <c r="AB86" s="311">
        <f>+Zał.1_WPF_bazowy!AB81</f>
        <v>0</v>
      </c>
      <c r="AC86" s="311">
        <f>+Zał.1_WPF_bazowy!AC81</f>
        <v>0</v>
      </c>
      <c r="AD86" s="311">
        <f>+Zał.1_WPF_bazowy!AD81</f>
        <v>0</v>
      </c>
      <c r="AE86" s="311">
        <f>+Zał.1_WPF_bazowy!AE81</f>
        <v>0</v>
      </c>
      <c r="AF86" s="311">
        <f>+Zał.1_WPF_bazowy!AF81</f>
        <v>0</v>
      </c>
      <c r="AG86" s="311">
        <f>+Zał.1_WPF_bazowy!AG81</f>
        <v>0</v>
      </c>
      <c r="AH86" s="311">
        <f>+Zał.1_WPF_bazowy!AH81</f>
        <v>0</v>
      </c>
      <c r="AI86" s="311">
        <f>+Zał.1_WPF_bazowy!AI81</f>
        <v>0</v>
      </c>
      <c r="AJ86" s="311">
        <f>+Zał.1_WPF_bazowy!AJ81</f>
        <v>0</v>
      </c>
      <c r="AK86" s="311">
        <f>+Zał.1_WPF_bazowy!AK81</f>
        <v>0</v>
      </c>
      <c r="AL86" s="312">
        <f>+Zał.1_WPF_bazowy!AL81</f>
        <v>0</v>
      </c>
    </row>
    <row r="87" spans="1:38" outlineLevel="2">
      <c r="A87" s="375"/>
      <c r="B87" s="48" t="s">
        <v>141</v>
      </c>
      <c r="C87" s="257"/>
      <c r="D87" s="356" t="s">
        <v>258</v>
      </c>
      <c r="E87" s="246">
        <f>Zał.1_WPF_bazowy!E82</f>
        <v>0</v>
      </c>
      <c r="F87" s="247">
        <f>Zał.1_WPF_bazowy!F82</f>
        <v>0</v>
      </c>
      <c r="G87" s="247">
        <f>Zał.1_WPF_bazowy!G82</f>
        <v>0</v>
      </c>
      <c r="H87" s="309">
        <f>Zał.1_WPF_bazowy!H82</f>
        <v>0</v>
      </c>
      <c r="I87" s="310">
        <f>+Zał.1_WPF_bazowy!I82</f>
        <v>1722684</v>
      </c>
      <c r="J87" s="311">
        <f>+Zał.1_WPF_bazowy!J82</f>
        <v>1389181</v>
      </c>
      <c r="K87" s="311">
        <f>+Zał.1_WPF_bazowy!K82</f>
        <v>0</v>
      </c>
      <c r="L87" s="311">
        <f>+Zał.1_WPF_bazowy!L82</f>
        <v>0</v>
      </c>
      <c r="M87" s="311">
        <f>+Zał.1_WPF_bazowy!M82</f>
        <v>0</v>
      </c>
      <c r="N87" s="311">
        <f>+Zał.1_WPF_bazowy!N82</f>
        <v>0</v>
      </c>
      <c r="O87" s="311">
        <f>+Zał.1_WPF_bazowy!O82</f>
        <v>0</v>
      </c>
      <c r="P87" s="311">
        <f>+Zał.1_WPF_bazowy!P82</f>
        <v>0</v>
      </c>
      <c r="Q87" s="311">
        <f>+Zał.1_WPF_bazowy!Q82</f>
        <v>0</v>
      </c>
      <c r="R87" s="311">
        <f>+Zał.1_WPF_bazowy!R82</f>
        <v>0</v>
      </c>
      <c r="S87" s="311">
        <f>+Zał.1_WPF_bazowy!S82</f>
        <v>0</v>
      </c>
      <c r="T87" s="311">
        <f>+Zał.1_WPF_bazowy!T82</f>
        <v>0</v>
      </c>
      <c r="U87" s="311">
        <f>+Zał.1_WPF_bazowy!U82</f>
        <v>0</v>
      </c>
      <c r="V87" s="311">
        <f>+Zał.1_WPF_bazowy!V82</f>
        <v>0</v>
      </c>
      <c r="W87" s="311">
        <f>+Zał.1_WPF_bazowy!W82</f>
        <v>0</v>
      </c>
      <c r="X87" s="311">
        <f>+Zał.1_WPF_bazowy!X82</f>
        <v>0</v>
      </c>
      <c r="Y87" s="311">
        <f>+Zał.1_WPF_bazowy!Y82</f>
        <v>0</v>
      </c>
      <c r="Z87" s="311">
        <f>+Zał.1_WPF_bazowy!Z82</f>
        <v>0</v>
      </c>
      <c r="AA87" s="311">
        <f>+Zał.1_WPF_bazowy!AA82</f>
        <v>0</v>
      </c>
      <c r="AB87" s="311">
        <f>+Zał.1_WPF_bazowy!AB82</f>
        <v>0</v>
      </c>
      <c r="AC87" s="311">
        <f>+Zał.1_WPF_bazowy!AC82</f>
        <v>0</v>
      </c>
      <c r="AD87" s="311">
        <f>+Zał.1_WPF_bazowy!AD82</f>
        <v>0</v>
      </c>
      <c r="AE87" s="311">
        <f>+Zał.1_WPF_bazowy!AE82</f>
        <v>0</v>
      </c>
      <c r="AF87" s="311">
        <f>+Zał.1_WPF_bazowy!AF82</f>
        <v>0</v>
      </c>
      <c r="AG87" s="311">
        <f>+Zał.1_WPF_bazowy!AG82</f>
        <v>0</v>
      </c>
      <c r="AH87" s="311">
        <f>+Zał.1_WPF_bazowy!AH82</f>
        <v>0</v>
      </c>
      <c r="AI87" s="311">
        <f>+Zał.1_WPF_bazowy!AI82</f>
        <v>0</v>
      </c>
      <c r="AJ87" s="311">
        <f>+Zał.1_WPF_bazowy!AJ82</f>
        <v>0</v>
      </c>
      <c r="AK87" s="311">
        <f>+Zał.1_WPF_bazowy!AK82</f>
        <v>0</v>
      </c>
      <c r="AL87" s="312">
        <f>+Zał.1_WPF_bazowy!AL82</f>
        <v>0</v>
      </c>
    </row>
    <row r="88" spans="1:38" ht="24" outlineLevel="2">
      <c r="A88" s="375"/>
      <c r="B88" s="48" t="s">
        <v>143</v>
      </c>
      <c r="C88" s="257"/>
      <c r="D88" s="356" t="s">
        <v>259</v>
      </c>
      <c r="E88" s="246">
        <f>Zał.1_WPF_bazowy!E83</f>
        <v>0</v>
      </c>
      <c r="F88" s="247">
        <f>Zał.1_WPF_bazowy!F83</f>
        <v>0</v>
      </c>
      <c r="G88" s="247">
        <f>Zał.1_WPF_bazowy!G83</f>
        <v>0</v>
      </c>
      <c r="H88" s="309">
        <f>Zał.1_WPF_bazowy!H83</f>
        <v>0</v>
      </c>
      <c r="I88" s="310">
        <f>+Zał.1_WPF_bazowy!I83</f>
        <v>508688.52</v>
      </c>
      <c r="J88" s="311">
        <f>+Zał.1_WPF_bazowy!J83</f>
        <v>0</v>
      </c>
      <c r="K88" s="311">
        <f>+Zał.1_WPF_bazowy!K83</f>
        <v>0</v>
      </c>
      <c r="L88" s="311">
        <f>+Zał.1_WPF_bazowy!L83</f>
        <v>0</v>
      </c>
      <c r="M88" s="311">
        <f>+Zał.1_WPF_bazowy!M83</f>
        <v>0</v>
      </c>
      <c r="N88" s="311">
        <f>+Zał.1_WPF_bazowy!N83</f>
        <v>0</v>
      </c>
      <c r="O88" s="311">
        <f>+Zał.1_WPF_bazowy!O83</f>
        <v>0</v>
      </c>
      <c r="P88" s="311">
        <f>+Zał.1_WPF_bazowy!P83</f>
        <v>0</v>
      </c>
      <c r="Q88" s="311">
        <f>+Zał.1_WPF_bazowy!Q83</f>
        <v>0</v>
      </c>
      <c r="R88" s="311">
        <f>+Zał.1_WPF_bazowy!R83</f>
        <v>0</v>
      </c>
      <c r="S88" s="311">
        <f>+Zał.1_WPF_bazowy!S83</f>
        <v>0</v>
      </c>
      <c r="T88" s="311">
        <f>+Zał.1_WPF_bazowy!T83</f>
        <v>0</v>
      </c>
      <c r="U88" s="311">
        <f>+Zał.1_WPF_bazowy!U83</f>
        <v>0</v>
      </c>
      <c r="V88" s="311">
        <f>+Zał.1_WPF_bazowy!V83</f>
        <v>0</v>
      </c>
      <c r="W88" s="311">
        <f>+Zał.1_WPF_bazowy!W83</f>
        <v>0</v>
      </c>
      <c r="X88" s="311">
        <f>+Zał.1_WPF_bazowy!X83</f>
        <v>0</v>
      </c>
      <c r="Y88" s="311">
        <f>+Zał.1_WPF_bazowy!Y83</f>
        <v>0</v>
      </c>
      <c r="Z88" s="311">
        <f>+Zał.1_WPF_bazowy!Z83</f>
        <v>0</v>
      </c>
      <c r="AA88" s="311">
        <f>+Zał.1_WPF_bazowy!AA83</f>
        <v>0</v>
      </c>
      <c r="AB88" s="311">
        <f>+Zał.1_WPF_bazowy!AB83</f>
        <v>0</v>
      </c>
      <c r="AC88" s="311">
        <f>+Zał.1_WPF_bazowy!AC83</f>
        <v>0</v>
      </c>
      <c r="AD88" s="311">
        <f>+Zał.1_WPF_bazowy!AD83</f>
        <v>0</v>
      </c>
      <c r="AE88" s="311">
        <f>+Zał.1_WPF_bazowy!AE83</f>
        <v>0</v>
      </c>
      <c r="AF88" s="311">
        <f>+Zał.1_WPF_bazowy!AF83</f>
        <v>0</v>
      </c>
      <c r="AG88" s="311">
        <f>+Zał.1_WPF_bazowy!AG83</f>
        <v>0</v>
      </c>
      <c r="AH88" s="311">
        <f>+Zał.1_WPF_bazowy!AH83</f>
        <v>0</v>
      </c>
      <c r="AI88" s="311">
        <f>+Zał.1_WPF_bazowy!AI83</f>
        <v>0</v>
      </c>
      <c r="AJ88" s="311">
        <f>+Zał.1_WPF_bazowy!AJ83</f>
        <v>0</v>
      </c>
      <c r="AK88" s="311">
        <f>+Zał.1_WPF_bazowy!AK83</f>
        <v>0</v>
      </c>
      <c r="AL88" s="312">
        <f>+Zał.1_WPF_bazowy!AL83</f>
        <v>0</v>
      </c>
    </row>
    <row r="89" spans="1:38" s="149" customFormat="1" ht="24" outlineLevel="1">
      <c r="A89" s="375"/>
      <c r="B89" s="47">
        <v>13</v>
      </c>
      <c r="C89" s="256"/>
      <c r="D89" s="352" t="s">
        <v>145</v>
      </c>
      <c r="E89" s="252" t="s">
        <v>31</v>
      </c>
      <c r="F89" s="253" t="s">
        <v>31</v>
      </c>
      <c r="G89" s="253" t="s">
        <v>31</v>
      </c>
      <c r="H89" s="321" t="s">
        <v>31</v>
      </c>
      <c r="I89" s="322" t="s">
        <v>31</v>
      </c>
      <c r="J89" s="323" t="s">
        <v>31</v>
      </c>
      <c r="K89" s="323" t="s">
        <v>31</v>
      </c>
      <c r="L89" s="323" t="s">
        <v>31</v>
      </c>
      <c r="M89" s="323" t="s">
        <v>31</v>
      </c>
      <c r="N89" s="323" t="s">
        <v>31</v>
      </c>
      <c r="O89" s="323" t="s">
        <v>31</v>
      </c>
      <c r="P89" s="323" t="s">
        <v>31</v>
      </c>
      <c r="Q89" s="323" t="s">
        <v>31</v>
      </c>
      <c r="R89" s="323" t="s">
        <v>31</v>
      </c>
      <c r="S89" s="323" t="s">
        <v>31</v>
      </c>
      <c r="T89" s="323" t="s">
        <v>31</v>
      </c>
      <c r="U89" s="323" t="s">
        <v>31</v>
      </c>
      <c r="V89" s="323" t="s">
        <v>31</v>
      </c>
      <c r="W89" s="323" t="s">
        <v>31</v>
      </c>
      <c r="X89" s="323" t="s">
        <v>31</v>
      </c>
      <c r="Y89" s="323" t="s">
        <v>31</v>
      </c>
      <c r="Z89" s="323" t="s">
        <v>31</v>
      </c>
      <c r="AA89" s="323" t="s">
        <v>31</v>
      </c>
      <c r="AB89" s="323" t="s">
        <v>31</v>
      </c>
      <c r="AC89" s="323" t="s">
        <v>31</v>
      </c>
      <c r="AD89" s="323" t="s">
        <v>31</v>
      </c>
      <c r="AE89" s="323" t="s">
        <v>31</v>
      </c>
      <c r="AF89" s="323" t="s">
        <v>31</v>
      </c>
      <c r="AG89" s="323" t="s">
        <v>31</v>
      </c>
      <c r="AH89" s="323" t="s">
        <v>31</v>
      </c>
      <c r="AI89" s="323" t="s">
        <v>31</v>
      </c>
      <c r="AJ89" s="323" t="s">
        <v>31</v>
      </c>
      <c r="AK89" s="323" t="s">
        <v>31</v>
      </c>
      <c r="AL89" s="324" t="s">
        <v>31</v>
      </c>
    </row>
    <row r="90" spans="1:38" ht="24" outlineLevel="2">
      <c r="A90" s="375"/>
      <c r="B90" s="48" t="s">
        <v>200</v>
      </c>
      <c r="C90" s="257"/>
      <c r="D90" s="355" t="s">
        <v>260</v>
      </c>
      <c r="E90" s="246">
        <f>Zał.1_WPF_bazowy!E85</f>
        <v>0</v>
      </c>
      <c r="F90" s="247">
        <f>Zał.1_WPF_bazowy!F85</f>
        <v>0</v>
      </c>
      <c r="G90" s="247">
        <f>Zał.1_WPF_bazowy!G85</f>
        <v>0</v>
      </c>
      <c r="H90" s="309">
        <f>Zał.1_WPF_bazowy!H85</f>
        <v>0</v>
      </c>
      <c r="I90" s="325">
        <f>+IF(I10&lt;&gt;0,H90-(I92+I93+I94+I95),0)</f>
        <v>0</v>
      </c>
      <c r="J90" s="326">
        <f t="shared" ref="J90:AL90" si="21">+IF(J10&lt;&gt;0,I90-(J92+J93+J94+J95),0)</f>
        <v>0</v>
      </c>
      <c r="K90" s="326">
        <f t="shared" si="21"/>
        <v>0</v>
      </c>
      <c r="L90" s="326">
        <f t="shared" si="21"/>
        <v>0</v>
      </c>
      <c r="M90" s="326">
        <f t="shared" si="21"/>
        <v>0</v>
      </c>
      <c r="N90" s="326">
        <f t="shared" si="21"/>
        <v>0</v>
      </c>
      <c r="O90" s="326">
        <f t="shared" si="21"/>
        <v>0</v>
      </c>
      <c r="P90" s="326">
        <f t="shared" si="21"/>
        <v>0</v>
      </c>
      <c r="Q90" s="326">
        <f t="shared" si="21"/>
        <v>0</v>
      </c>
      <c r="R90" s="326">
        <f t="shared" si="21"/>
        <v>0</v>
      </c>
      <c r="S90" s="326">
        <f t="shared" si="21"/>
        <v>0</v>
      </c>
      <c r="T90" s="326">
        <f t="shared" si="21"/>
        <v>0</v>
      </c>
      <c r="U90" s="326">
        <f t="shared" si="21"/>
        <v>0</v>
      </c>
      <c r="V90" s="326">
        <f t="shared" si="21"/>
        <v>0</v>
      </c>
      <c r="W90" s="326">
        <f t="shared" si="21"/>
        <v>0</v>
      </c>
      <c r="X90" s="326">
        <f t="shared" si="21"/>
        <v>0</v>
      </c>
      <c r="Y90" s="326">
        <f t="shared" si="21"/>
        <v>0</v>
      </c>
      <c r="Z90" s="326">
        <f t="shared" si="21"/>
        <v>0</v>
      </c>
      <c r="AA90" s="326">
        <f t="shared" si="21"/>
        <v>0</v>
      </c>
      <c r="AB90" s="326">
        <f t="shared" si="21"/>
        <v>0</v>
      </c>
      <c r="AC90" s="326">
        <f t="shared" si="21"/>
        <v>0</v>
      </c>
      <c r="AD90" s="326">
        <f t="shared" si="21"/>
        <v>0</v>
      </c>
      <c r="AE90" s="326">
        <f t="shared" si="21"/>
        <v>0</v>
      </c>
      <c r="AF90" s="326">
        <f t="shared" si="21"/>
        <v>0</v>
      </c>
      <c r="AG90" s="326">
        <f t="shared" si="21"/>
        <v>0</v>
      </c>
      <c r="AH90" s="326">
        <f t="shared" si="21"/>
        <v>0</v>
      </c>
      <c r="AI90" s="326">
        <f t="shared" si="21"/>
        <v>0</v>
      </c>
      <c r="AJ90" s="326">
        <f t="shared" si="21"/>
        <v>0</v>
      </c>
      <c r="AK90" s="326">
        <f t="shared" si="21"/>
        <v>0</v>
      </c>
      <c r="AL90" s="327">
        <f t="shared" si="21"/>
        <v>0</v>
      </c>
    </row>
    <row r="91" spans="1:38" ht="24" outlineLevel="2">
      <c r="A91" s="375"/>
      <c r="B91" s="48" t="s">
        <v>201</v>
      </c>
      <c r="C91" s="257"/>
      <c r="D91" s="355" t="s">
        <v>462</v>
      </c>
      <c r="E91" s="246">
        <f>Zał.1_WPF_bazowy!E86</f>
        <v>0</v>
      </c>
      <c r="F91" s="247">
        <f>Zał.1_WPF_bazowy!F86</f>
        <v>0</v>
      </c>
      <c r="G91" s="247">
        <f>Zał.1_WPF_bazowy!G86</f>
        <v>0</v>
      </c>
      <c r="H91" s="309">
        <f>Zał.1_WPF_bazowy!H86</f>
        <v>0</v>
      </c>
      <c r="I91" s="310">
        <f>+Zał.1_WPF_bazowy!I86</f>
        <v>0</v>
      </c>
      <c r="J91" s="311">
        <f>+Zał.1_WPF_bazowy!J86</f>
        <v>0</v>
      </c>
      <c r="K91" s="311">
        <f>+Zał.1_WPF_bazowy!K86</f>
        <v>0</v>
      </c>
      <c r="L91" s="311">
        <f>+Zał.1_WPF_bazowy!L86</f>
        <v>0</v>
      </c>
      <c r="M91" s="311">
        <f>+Zał.1_WPF_bazowy!M86</f>
        <v>0</v>
      </c>
      <c r="N91" s="311">
        <f>+Zał.1_WPF_bazowy!N86</f>
        <v>0</v>
      </c>
      <c r="O91" s="311">
        <f>+Zał.1_WPF_bazowy!O86</f>
        <v>0</v>
      </c>
      <c r="P91" s="311">
        <f>+Zał.1_WPF_bazowy!P86</f>
        <v>0</v>
      </c>
      <c r="Q91" s="311">
        <f>+Zał.1_WPF_bazowy!Q86</f>
        <v>0</v>
      </c>
      <c r="R91" s="311">
        <f>+Zał.1_WPF_bazowy!R86</f>
        <v>0</v>
      </c>
      <c r="S91" s="311">
        <f>+Zał.1_WPF_bazowy!S86</f>
        <v>0</v>
      </c>
      <c r="T91" s="311">
        <f>+Zał.1_WPF_bazowy!T86</f>
        <v>0</v>
      </c>
      <c r="U91" s="311">
        <f>+Zał.1_WPF_bazowy!U86</f>
        <v>0</v>
      </c>
      <c r="V91" s="311">
        <f>+Zał.1_WPF_bazowy!V86</f>
        <v>0</v>
      </c>
      <c r="W91" s="311">
        <f>+Zał.1_WPF_bazowy!W86</f>
        <v>0</v>
      </c>
      <c r="X91" s="311">
        <f>+Zał.1_WPF_bazowy!X86</f>
        <v>0</v>
      </c>
      <c r="Y91" s="311">
        <f>+Zał.1_WPF_bazowy!Y86</f>
        <v>0</v>
      </c>
      <c r="Z91" s="311">
        <f>+Zał.1_WPF_bazowy!Z86</f>
        <v>0</v>
      </c>
      <c r="AA91" s="311">
        <f>+Zał.1_WPF_bazowy!AA86</f>
        <v>0</v>
      </c>
      <c r="AB91" s="311">
        <f>+Zał.1_WPF_bazowy!AB86</f>
        <v>0</v>
      </c>
      <c r="AC91" s="311">
        <f>+Zał.1_WPF_bazowy!AC86</f>
        <v>0</v>
      </c>
      <c r="AD91" s="311">
        <f>+Zał.1_WPF_bazowy!AD86</f>
        <v>0</v>
      </c>
      <c r="AE91" s="311">
        <f>+Zał.1_WPF_bazowy!AE86</f>
        <v>0</v>
      </c>
      <c r="AF91" s="311">
        <f>+Zał.1_WPF_bazowy!AF86</f>
        <v>0</v>
      </c>
      <c r="AG91" s="311">
        <f>+Zał.1_WPF_bazowy!AG86</f>
        <v>0</v>
      </c>
      <c r="AH91" s="311">
        <f>+Zał.1_WPF_bazowy!AH86</f>
        <v>0</v>
      </c>
      <c r="AI91" s="311">
        <f>+Zał.1_WPF_bazowy!AI86</f>
        <v>0</v>
      </c>
      <c r="AJ91" s="311">
        <f>+Zał.1_WPF_bazowy!AJ86</f>
        <v>0</v>
      </c>
      <c r="AK91" s="311">
        <f>+Zał.1_WPF_bazowy!AK86</f>
        <v>0</v>
      </c>
      <c r="AL91" s="312">
        <f>+Zał.1_WPF_bazowy!AL86</f>
        <v>0</v>
      </c>
    </row>
    <row r="92" spans="1:38" outlineLevel="2">
      <c r="A92" s="375"/>
      <c r="B92" s="48" t="s">
        <v>202</v>
      </c>
      <c r="C92" s="257"/>
      <c r="D92" s="355" t="s">
        <v>261</v>
      </c>
      <c r="E92" s="246">
        <f>Zał.1_WPF_bazowy!E87</f>
        <v>0</v>
      </c>
      <c r="F92" s="247">
        <f>Zał.1_WPF_bazowy!F87</f>
        <v>0</v>
      </c>
      <c r="G92" s="247">
        <f>Zał.1_WPF_bazowy!G87</f>
        <v>0</v>
      </c>
      <c r="H92" s="309">
        <f>Zał.1_WPF_bazowy!H87</f>
        <v>0</v>
      </c>
      <c r="I92" s="310">
        <f>+Zał.1_WPF_bazowy!I87</f>
        <v>0</v>
      </c>
      <c r="J92" s="311">
        <f>+Zał.1_WPF_bazowy!J87</f>
        <v>0</v>
      </c>
      <c r="K92" s="311">
        <f>+Zał.1_WPF_bazowy!K87</f>
        <v>0</v>
      </c>
      <c r="L92" s="311">
        <f>+Zał.1_WPF_bazowy!L87</f>
        <v>0</v>
      </c>
      <c r="M92" s="311">
        <f>+Zał.1_WPF_bazowy!M87</f>
        <v>0</v>
      </c>
      <c r="N92" s="311">
        <f>+Zał.1_WPF_bazowy!N87</f>
        <v>0</v>
      </c>
      <c r="O92" s="311">
        <f>+Zał.1_WPF_bazowy!O87</f>
        <v>0</v>
      </c>
      <c r="P92" s="311">
        <f>+Zał.1_WPF_bazowy!P87</f>
        <v>0</v>
      </c>
      <c r="Q92" s="311">
        <f>+Zał.1_WPF_bazowy!Q87</f>
        <v>0</v>
      </c>
      <c r="R92" s="311">
        <f>+Zał.1_WPF_bazowy!R87</f>
        <v>0</v>
      </c>
      <c r="S92" s="311">
        <f>+Zał.1_WPF_bazowy!S87</f>
        <v>0</v>
      </c>
      <c r="T92" s="311">
        <f>+Zał.1_WPF_bazowy!T87</f>
        <v>0</v>
      </c>
      <c r="U92" s="311">
        <f>+Zał.1_WPF_bazowy!U87</f>
        <v>0</v>
      </c>
      <c r="V92" s="311">
        <f>+Zał.1_WPF_bazowy!V87</f>
        <v>0</v>
      </c>
      <c r="W92" s="311">
        <f>+Zał.1_WPF_bazowy!W87</f>
        <v>0</v>
      </c>
      <c r="X92" s="311">
        <f>+Zał.1_WPF_bazowy!X87</f>
        <v>0</v>
      </c>
      <c r="Y92" s="311">
        <f>+Zał.1_WPF_bazowy!Y87</f>
        <v>0</v>
      </c>
      <c r="Z92" s="311">
        <f>+Zał.1_WPF_bazowy!Z87</f>
        <v>0</v>
      </c>
      <c r="AA92" s="311">
        <f>+Zał.1_WPF_bazowy!AA87</f>
        <v>0</v>
      </c>
      <c r="AB92" s="311">
        <f>+Zał.1_WPF_bazowy!AB87</f>
        <v>0</v>
      </c>
      <c r="AC92" s="311">
        <f>+Zał.1_WPF_bazowy!AC87</f>
        <v>0</v>
      </c>
      <c r="AD92" s="311">
        <f>+Zał.1_WPF_bazowy!AD87</f>
        <v>0</v>
      </c>
      <c r="AE92" s="311">
        <f>+Zał.1_WPF_bazowy!AE87</f>
        <v>0</v>
      </c>
      <c r="AF92" s="311">
        <f>+Zał.1_WPF_bazowy!AF87</f>
        <v>0</v>
      </c>
      <c r="AG92" s="311">
        <f>+Zał.1_WPF_bazowy!AG87</f>
        <v>0</v>
      </c>
      <c r="AH92" s="311">
        <f>+Zał.1_WPF_bazowy!AH87</f>
        <v>0</v>
      </c>
      <c r="AI92" s="311">
        <f>+Zał.1_WPF_bazowy!AI87</f>
        <v>0</v>
      </c>
      <c r="AJ92" s="311">
        <f>+Zał.1_WPF_bazowy!AJ87</f>
        <v>0</v>
      </c>
      <c r="AK92" s="311">
        <f>+Zał.1_WPF_bazowy!AK87</f>
        <v>0</v>
      </c>
      <c r="AL92" s="312">
        <f>+Zał.1_WPF_bazowy!AL87</f>
        <v>0</v>
      </c>
    </row>
    <row r="93" spans="1:38" ht="24" outlineLevel="2">
      <c r="A93" s="375"/>
      <c r="B93" s="48" t="s">
        <v>203</v>
      </c>
      <c r="C93" s="257"/>
      <c r="D93" s="355" t="s">
        <v>463</v>
      </c>
      <c r="E93" s="246">
        <f>Zał.1_WPF_bazowy!E88</f>
        <v>0</v>
      </c>
      <c r="F93" s="247">
        <f>Zał.1_WPF_bazowy!F88</f>
        <v>0</v>
      </c>
      <c r="G93" s="247">
        <f>Zał.1_WPF_bazowy!G88</f>
        <v>0</v>
      </c>
      <c r="H93" s="309">
        <f>Zał.1_WPF_bazowy!H88</f>
        <v>0</v>
      </c>
      <c r="I93" s="310">
        <f>+Zał.1_WPF_bazowy!I88</f>
        <v>0</v>
      </c>
      <c r="J93" s="311">
        <f>+Zał.1_WPF_bazowy!J88</f>
        <v>0</v>
      </c>
      <c r="K93" s="311">
        <f>+Zał.1_WPF_bazowy!K88</f>
        <v>0</v>
      </c>
      <c r="L93" s="311">
        <f>+Zał.1_WPF_bazowy!L88</f>
        <v>0</v>
      </c>
      <c r="M93" s="311">
        <f>+Zał.1_WPF_bazowy!M88</f>
        <v>0</v>
      </c>
      <c r="N93" s="311">
        <f>+Zał.1_WPF_bazowy!N88</f>
        <v>0</v>
      </c>
      <c r="O93" s="311">
        <f>+Zał.1_WPF_bazowy!O88</f>
        <v>0</v>
      </c>
      <c r="P93" s="311">
        <f>+Zał.1_WPF_bazowy!P88</f>
        <v>0</v>
      </c>
      <c r="Q93" s="311">
        <f>+Zał.1_WPF_bazowy!Q88</f>
        <v>0</v>
      </c>
      <c r="R93" s="311">
        <f>+Zał.1_WPF_bazowy!R88</f>
        <v>0</v>
      </c>
      <c r="S93" s="311">
        <f>+Zał.1_WPF_bazowy!S88</f>
        <v>0</v>
      </c>
      <c r="T93" s="311">
        <f>+Zał.1_WPF_bazowy!T88</f>
        <v>0</v>
      </c>
      <c r="U93" s="311">
        <f>+Zał.1_WPF_bazowy!U88</f>
        <v>0</v>
      </c>
      <c r="V93" s="311">
        <f>+Zał.1_WPF_bazowy!V88</f>
        <v>0</v>
      </c>
      <c r="W93" s="311">
        <f>+Zał.1_WPF_bazowy!W88</f>
        <v>0</v>
      </c>
      <c r="X93" s="311">
        <f>+Zał.1_WPF_bazowy!X88</f>
        <v>0</v>
      </c>
      <c r="Y93" s="311">
        <f>+Zał.1_WPF_bazowy!Y88</f>
        <v>0</v>
      </c>
      <c r="Z93" s="311">
        <f>+Zał.1_WPF_bazowy!Z88</f>
        <v>0</v>
      </c>
      <c r="AA93" s="311">
        <f>+Zał.1_WPF_bazowy!AA88</f>
        <v>0</v>
      </c>
      <c r="AB93" s="311">
        <f>+Zał.1_WPF_bazowy!AB88</f>
        <v>0</v>
      </c>
      <c r="AC93" s="311">
        <f>+Zał.1_WPF_bazowy!AC88</f>
        <v>0</v>
      </c>
      <c r="AD93" s="311">
        <f>+Zał.1_WPF_bazowy!AD88</f>
        <v>0</v>
      </c>
      <c r="AE93" s="311">
        <f>+Zał.1_WPF_bazowy!AE88</f>
        <v>0</v>
      </c>
      <c r="AF93" s="311">
        <f>+Zał.1_WPF_bazowy!AF88</f>
        <v>0</v>
      </c>
      <c r="AG93" s="311">
        <f>+Zał.1_WPF_bazowy!AG88</f>
        <v>0</v>
      </c>
      <c r="AH93" s="311">
        <f>+Zał.1_WPF_bazowy!AH88</f>
        <v>0</v>
      </c>
      <c r="AI93" s="311">
        <f>+Zał.1_WPF_bazowy!AI88</f>
        <v>0</v>
      </c>
      <c r="AJ93" s="311">
        <f>+Zał.1_WPF_bazowy!AJ88</f>
        <v>0</v>
      </c>
      <c r="AK93" s="311">
        <f>+Zał.1_WPF_bazowy!AK88</f>
        <v>0</v>
      </c>
      <c r="AL93" s="312">
        <f>+Zał.1_WPF_bazowy!AL88</f>
        <v>0</v>
      </c>
    </row>
    <row r="94" spans="1:38" ht="24" outlineLevel="2">
      <c r="A94" s="375"/>
      <c r="B94" s="48" t="s">
        <v>204</v>
      </c>
      <c r="C94" s="257"/>
      <c r="D94" s="355" t="s">
        <v>464</v>
      </c>
      <c r="E94" s="246">
        <f>Zał.1_WPF_bazowy!E89</f>
        <v>0</v>
      </c>
      <c r="F94" s="247">
        <f>Zał.1_WPF_bazowy!F89</f>
        <v>0</v>
      </c>
      <c r="G94" s="247">
        <f>Zał.1_WPF_bazowy!G89</f>
        <v>0</v>
      </c>
      <c r="H94" s="309">
        <f>Zał.1_WPF_bazowy!H89</f>
        <v>0</v>
      </c>
      <c r="I94" s="310">
        <f>+Zał.1_WPF_bazowy!I89</f>
        <v>0</v>
      </c>
      <c r="J94" s="311">
        <f>+Zał.1_WPF_bazowy!J89</f>
        <v>0</v>
      </c>
      <c r="K94" s="311">
        <f>+Zał.1_WPF_bazowy!K89</f>
        <v>0</v>
      </c>
      <c r="L94" s="311">
        <f>+Zał.1_WPF_bazowy!L89</f>
        <v>0</v>
      </c>
      <c r="M94" s="311">
        <f>+Zał.1_WPF_bazowy!M89</f>
        <v>0</v>
      </c>
      <c r="N94" s="311">
        <f>+Zał.1_WPF_bazowy!N89</f>
        <v>0</v>
      </c>
      <c r="O94" s="311">
        <f>+Zał.1_WPF_bazowy!O89</f>
        <v>0</v>
      </c>
      <c r="P94" s="311">
        <f>+Zał.1_WPF_bazowy!P89</f>
        <v>0</v>
      </c>
      <c r="Q94" s="311">
        <f>+Zał.1_WPF_bazowy!Q89</f>
        <v>0</v>
      </c>
      <c r="R94" s="311">
        <f>+Zał.1_WPF_bazowy!R89</f>
        <v>0</v>
      </c>
      <c r="S94" s="311">
        <f>+Zał.1_WPF_bazowy!S89</f>
        <v>0</v>
      </c>
      <c r="T94" s="311">
        <f>+Zał.1_WPF_bazowy!T89</f>
        <v>0</v>
      </c>
      <c r="U94" s="311">
        <f>+Zał.1_WPF_bazowy!U89</f>
        <v>0</v>
      </c>
      <c r="V94" s="311">
        <f>+Zał.1_WPF_bazowy!V89</f>
        <v>0</v>
      </c>
      <c r="W94" s="311">
        <f>+Zał.1_WPF_bazowy!W89</f>
        <v>0</v>
      </c>
      <c r="X94" s="311">
        <f>+Zał.1_WPF_bazowy!X89</f>
        <v>0</v>
      </c>
      <c r="Y94" s="311">
        <f>+Zał.1_WPF_bazowy!Y89</f>
        <v>0</v>
      </c>
      <c r="Z94" s="311">
        <f>+Zał.1_WPF_bazowy!Z89</f>
        <v>0</v>
      </c>
      <c r="AA94" s="311">
        <f>+Zał.1_WPF_bazowy!AA89</f>
        <v>0</v>
      </c>
      <c r="AB94" s="311">
        <f>+Zał.1_WPF_bazowy!AB89</f>
        <v>0</v>
      </c>
      <c r="AC94" s="311">
        <f>+Zał.1_WPF_bazowy!AC89</f>
        <v>0</v>
      </c>
      <c r="AD94" s="311">
        <f>+Zał.1_WPF_bazowy!AD89</f>
        <v>0</v>
      </c>
      <c r="AE94" s="311">
        <f>+Zał.1_WPF_bazowy!AE89</f>
        <v>0</v>
      </c>
      <c r="AF94" s="311">
        <f>+Zał.1_WPF_bazowy!AF89</f>
        <v>0</v>
      </c>
      <c r="AG94" s="311">
        <f>+Zał.1_WPF_bazowy!AG89</f>
        <v>0</v>
      </c>
      <c r="AH94" s="311">
        <f>+Zał.1_WPF_bazowy!AH89</f>
        <v>0</v>
      </c>
      <c r="AI94" s="311">
        <f>+Zał.1_WPF_bazowy!AI89</f>
        <v>0</v>
      </c>
      <c r="AJ94" s="311">
        <f>+Zał.1_WPF_bazowy!AJ89</f>
        <v>0</v>
      </c>
      <c r="AK94" s="311">
        <f>+Zał.1_WPF_bazowy!AK89</f>
        <v>0</v>
      </c>
      <c r="AL94" s="312">
        <f>+Zał.1_WPF_bazowy!AL89</f>
        <v>0</v>
      </c>
    </row>
    <row r="95" spans="1:38" ht="24" outlineLevel="2">
      <c r="A95" s="375"/>
      <c r="B95" s="48" t="s">
        <v>205</v>
      </c>
      <c r="C95" s="257"/>
      <c r="D95" s="355" t="s">
        <v>262</v>
      </c>
      <c r="E95" s="246">
        <f>Zał.1_WPF_bazowy!E90</f>
        <v>0</v>
      </c>
      <c r="F95" s="247">
        <f>Zał.1_WPF_bazowy!F90</f>
        <v>0</v>
      </c>
      <c r="G95" s="247">
        <f>Zał.1_WPF_bazowy!G90</f>
        <v>0</v>
      </c>
      <c r="H95" s="309">
        <f>Zał.1_WPF_bazowy!H90</f>
        <v>0</v>
      </c>
      <c r="I95" s="310">
        <f>+Zał.1_WPF_bazowy!I90</f>
        <v>0</v>
      </c>
      <c r="J95" s="311">
        <f>+Zał.1_WPF_bazowy!J90</f>
        <v>0</v>
      </c>
      <c r="K95" s="311">
        <f>+Zał.1_WPF_bazowy!K90</f>
        <v>0</v>
      </c>
      <c r="L95" s="311">
        <f>+Zał.1_WPF_bazowy!L90</f>
        <v>0</v>
      </c>
      <c r="M95" s="311">
        <f>+Zał.1_WPF_bazowy!M90</f>
        <v>0</v>
      </c>
      <c r="N95" s="311">
        <f>+Zał.1_WPF_bazowy!N90</f>
        <v>0</v>
      </c>
      <c r="O95" s="311">
        <f>+Zał.1_WPF_bazowy!O90</f>
        <v>0</v>
      </c>
      <c r="P95" s="311">
        <f>+Zał.1_WPF_bazowy!P90</f>
        <v>0</v>
      </c>
      <c r="Q95" s="311">
        <f>+Zał.1_WPF_bazowy!Q90</f>
        <v>0</v>
      </c>
      <c r="R95" s="311">
        <f>+Zał.1_WPF_bazowy!R90</f>
        <v>0</v>
      </c>
      <c r="S95" s="311">
        <f>+Zał.1_WPF_bazowy!S90</f>
        <v>0</v>
      </c>
      <c r="T95" s="311">
        <f>+Zał.1_WPF_bazowy!T90</f>
        <v>0</v>
      </c>
      <c r="U95" s="311">
        <f>+Zał.1_WPF_bazowy!U90</f>
        <v>0</v>
      </c>
      <c r="V95" s="311">
        <f>+Zał.1_WPF_bazowy!V90</f>
        <v>0</v>
      </c>
      <c r="W95" s="311">
        <f>+Zał.1_WPF_bazowy!W90</f>
        <v>0</v>
      </c>
      <c r="X95" s="311">
        <f>+Zał.1_WPF_bazowy!X90</f>
        <v>0</v>
      </c>
      <c r="Y95" s="311">
        <f>+Zał.1_WPF_bazowy!Y90</f>
        <v>0</v>
      </c>
      <c r="Z95" s="311">
        <f>+Zał.1_WPF_bazowy!Z90</f>
        <v>0</v>
      </c>
      <c r="AA95" s="311">
        <f>+Zał.1_WPF_bazowy!AA90</f>
        <v>0</v>
      </c>
      <c r="AB95" s="311">
        <f>+Zał.1_WPF_bazowy!AB90</f>
        <v>0</v>
      </c>
      <c r="AC95" s="311">
        <f>+Zał.1_WPF_bazowy!AC90</f>
        <v>0</v>
      </c>
      <c r="AD95" s="311">
        <f>+Zał.1_WPF_bazowy!AD90</f>
        <v>0</v>
      </c>
      <c r="AE95" s="311">
        <f>+Zał.1_WPF_bazowy!AE90</f>
        <v>0</v>
      </c>
      <c r="AF95" s="311">
        <f>+Zał.1_WPF_bazowy!AF90</f>
        <v>0</v>
      </c>
      <c r="AG95" s="311">
        <f>+Zał.1_WPF_bazowy!AG90</f>
        <v>0</v>
      </c>
      <c r="AH95" s="311">
        <f>+Zał.1_WPF_bazowy!AH90</f>
        <v>0</v>
      </c>
      <c r="AI95" s="311">
        <f>+Zał.1_WPF_bazowy!AI90</f>
        <v>0</v>
      </c>
      <c r="AJ95" s="311">
        <f>+Zał.1_WPF_bazowy!AJ90</f>
        <v>0</v>
      </c>
      <c r="AK95" s="311">
        <f>+Zał.1_WPF_bazowy!AK90</f>
        <v>0</v>
      </c>
      <c r="AL95" s="312">
        <f>+Zał.1_WPF_bazowy!AL90</f>
        <v>0</v>
      </c>
    </row>
    <row r="96" spans="1:38" ht="24" outlineLevel="2">
      <c r="A96" s="375"/>
      <c r="B96" s="48" t="s">
        <v>206</v>
      </c>
      <c r="C96" s="257"/>
      <c r="D96" s="355" t="s">
        <v>263</v>
      </c>
      <c r="E96" s="246">
        <f>Zał.1_WPF_bazowy!E91</f>
        <v>0</v>
      </c>
      <c r="F96" s="247">
        <f>Zał.1_WPF_bazowy!F91</f>
        <v>0</v>
      </c>
      <c r="G96" s="247">
        <f>Zał.1_WPF_bazowy!G91</f>
        <v>0</v>
      </c>
      <c r="H96" s="309">
        <f>Zał.1_WPF_bazowy!H91</f>
        <v>0</v>
      </c>
      <c r="I96" s="310">
        <f>+Zał.1_WPF_bazowy!I91</f>
        <v>0</v>
      </c>
      <c r="J96" s="311">
        <f>+Zał.1_WPF_bazowy!J91</f>
        <v>0</v>
      </c>
      <c r="K96" s="311">
        <f>+Zał.1_WPF_bazowy!K91</f>
        <v>0</v>
      </c>
      <c r="L96" s="311">
        <f>+Zał.1_WPF_bazowy!L91</f>
        <v>0</v>
      </c>
      <c r="M96" s="311">
        <f>+Zał.1_WPF_bazowy!M91</f>
        <v>0</v>
      </c>
      <c r="N96" s="311">
        <f>+Zał.1_WPF_bazowy!N91</f>
        <v>0</v>
      </c>
      <c r="O96" s="311">
        <f>+Zał.1_WPF_bazowy!O91</f>
        <v>0</v>
      </c>
      <c r="P96" s="311">
        <f>+Zał.1_WPF_bazowy!P91</f>
        <v>0</v>
      </c>
      <c r="Q96" s="311">
        <f>+Zał.1_WPF_bazowy!Q91</f>
        <v>0</v>
      </c>
      <c r="R96" s="311">
        <f>+Zał.1_WPF_bazowy!R91</f>
        <v>0</v>
      </c>
      <c r="S96" s="311">
        <f>+Zał.1_WPF_bazowy!S91</f>
        <v>0</v>
      </c>
      <c r="T96" s="311">
        <f>+Zał.1_WPF_bazowy!T91</f>
        <v>0</v>
      </c>
      <c r="U96" s="311">
        <f>+Zał.1_WPF_bazowy!U91</f>
        <v>0</v>
      </c>
      <c r="V96" s="311">
        <f>+Zał.1_WPF_bazowy!V91</f>
        <v>0</v>
      </c>
      <c r="W96" s="311">
        <f>+Zał.1_WPF_bazowy!W91</f>
        <v>0</v>
      </c>
      <c r="X96" s="311">
        <f>+Zał.1_WPF_bazowy!X91</f>
        <v>0</v>
      </c>
      <c r="Y96" s="311">
        <f>+Zał.1_WPF_bazowy!Y91</f>
        <v>0</v>
      </c>
      <c r="Z96" s="311">
        <f>+Zał.1_WPF_bazowy!Z91</f>
        <v>0</v>
      </c>
      <c r="AA96" s="311">
        <f>+Zał.1_WPF_bazowy!AA91</f>
        <v>0</v>
      </c>
      <c r="AB96" s="311">
        <f>+Zał.1_WPF_bazowy!AB91</f>
        <v>0</v>
      </c>
      <c r="AC96" s="311">
        <f>+Zał.1_WPF_bazowy!AC91</f>
        <v>0</v>
      </c>
      <c r="AD96" s="311">
        <f>+Zał.1_WPF_bazowy!AD91</f>
        <v>0</v>
      </c>
      <c r="AE96" s="311">
        <f>+Zał.1_WPF_bazowy!AE91</f>
        <v>0</v>
      </c>
      <c r="AF96" s="311">
        <f>+Zał.1_WPF_bazowy!AF91</f>
        <v>0</v>
      </c>
      <c r="AG96" s="311">
        <f>+Zał.1_WPF_bazowy!AG91</f>
        <v>0</v>
      </c>
      <c r="AH96" s="311">
        <f>+Zał.1_WPF_bazowy!AH91</f>
        <v>0</v>
      </c>
      <c r="AI96" s="311">
        <f>+Zał.1_WPF_bazowy!AI91</f>
        <v>0</v>
      </c>
      <c r="AJ96" s="311">
        <f>+Zał.1_WPF_bazowy!AJ91</f>
        <v>0</v>
      </c>
      <c r="AK96" s="311">
        <f>+Zał.1_WPF_bazowy!AK91</f>
        <v>0</v>
      </c>
      <c r="AL96" s="312">
        <f>+Zał.1_WPF_bazowy!AL91</f>
        <v>0</v>
      </c>
    </row>
    <row r="97" spans="1:39" s="149" customFormat="1" ht="15" outlineLevel="1">
      <c r="A97" s="375" t="s">
        <v>31</v>
      </c>
      <c r="B97" s="47">
        <v>14</v>
      </c>
      <c r="C97" s="256"/>
      <c r="D97" s="353" t="s">
        <v>153</v>
      </c>
      <c r="E97" s="252" t="s">
        <v>31</v>
      </c>
      <c r="F97" s="253" t="s">
        <v>31</v>
      </c>
      <c r="G97" s="253" t="s">
        <v>31</v>
      </c>
      <c r="H97" s="321" t="s">
        <v>31</v>
      </c>
      <c r="I97" s="322" t="s">
        <v>31</v>
      </c>
      <c r="J97" s="323" t="s">
        <v>31</v>
      </c>
      <c r="K97" s="323" t="s">
        <v>31</v>
      </c>
      <c r="L97" s="323" t="s">
        <v>31</v>
      </c>
      <c r="M97" s="323" t="s">
        <v>31</v>
      </c>
      <c r="N97" s="323" t="s">
        <v>31</v>
      </c>
      <c r="O97" s="323" t="s">
        <v>31</v>
      </c>
      <c r="P97" s="323" t="s">
        <v>31</v>
      </c>
      <c r="Q97" s="323" t="s">
        <v>31</v>
      </c>
      <c r="R97" s="323" t="s">
        <v>31</v>
      </c>
      <c r="S97" s="323" t="s">
        <v>31</v>
      </c>
      <c r="T97" s="323" t="s">
        <v>31</v>
      </c>
      <c r="U97" s="323" t="s">
        <v>31</v>
      </c>
      <c r="V97" s="323" t="s">
        <v>31</v>
      </c>
      <c r="W97" s="323" t="s">
        <v>31</v>
      </c>
      <c r="X97" s="323" t="s">
        <v>31</v>
      </c>
      <c r="Y97" s="323" t="s">
        <v>31</v>
      </c>
      <c r="Z97" s="323" t="s">
        <v>31</v>
      </c>
      <c r="AA97" s="323" t="s">
        <v>31</v>
      </c>
      <c r="AB97" s="323" t="s">
        <v>31</v>
      </c>
      <c r="AC97" s="323" t="s">
        <v>31</v>
      </c>
      <c r="AD97" s="323" t="s">
        <v>31</v>
      </c>
      <c r="AE97" s="323" t="s">
        <v>31</v>
      </c>
      <c r="AF97" s="323" t="s">
        <v>31</v>
      </c>
      <c r="AG97" s="323" t="s">
        <v>31</v>
      </c>
      <c r="AH97" s="323" t="s">
        <v>31</v>
      </c>
      <c r="AI97" s="323" t="s">
        <v>31</v>
      </c>
      <c r="AJ97" s="323" t="s">
        <v>31</v>
      </c>
      <c r="AK97" s="323" t="s">
        <v>31</v>
      </c>
      <c r="AL97" s="324" t="s">
        <v>31</v>
      </c>
    </row>
    <row r="98" spans="1:39" ht="24" outlineLevel="2">
      <c r="A98" s="375" t="s">
        <v>31</v>
      </c>
      <c r="B98" s="48" t="s">
        <v>207</v>
      </c>
      <c r="C98" s="257"/>
      <c r="D98" s="355" t="s">
        <v>264</v>
      </c>
      <c r="E98" s="246">
        <f>Zał.1_WPF_bazowy!E93</f>
        <v>0</v>
      </c>
      <c r="F98" s="247">
        <f>Zał.1_WPF_bazowy!F93</f>
        <v>0</v>
      </c>
      <c r="G98" s="247">
        <f>Zał.1_WPF_bazowy!G93</f>
        <v>0</v>
      </c>
      <c r="H98" s="309">
        <f>Zał.1_WPF_bazowy!H93</f>
        <v>0</v>
      </c>
      <c r="I98" s="310">
        <f>+Zał.1_WPF_bazowy!I93</f>
        <v>2105000</v>
      </c>
      <c r="J98" s="311">
        <f>+Zał.1_WPF_bazowy!J93</f>
        <v>500000</v>
      </c>
      <c r="K98" s="311">
        <f>+Zał.1_WPF_bazowy!K93</f>
        <v>100000</v>
      </c>
      <c r="L98" s="311">
        <f>+Zał.1_WPF_bazowy!L93</f>
        <v>400000</v>
      </c>
      <c r="M98" s="311">
        <f>+Zał.1_WPF_bazowy!M93</f>
        <v>600000</v>
      </c>
      <c r="N98" s="311">
        <f>+Zał.1_WPF_bazowy!N93</f>
        <v>600000</v>
      </c>
      <c r="O98" s="311">
        <f>+Zał.1_WPF_bazowy!O93</f>
        <v>1200000</v>
      </c>
      <c r="P98" s="311">
        <f>+Zał.1_WPF_bazowy!P93</f>
        <v>1300000</v>
      </c>
      <c r="Q98" s="311">
        <f>+Zał.1_WPF_bazowy!Q93</f>
        <v>1200000</v>
      </c>
      <c r="R98" s="311">
        <f>+Zał.1_WPF_bazowy!R93</f>
        <v>1330000</v>
      </c>
      <c r="S98" s="311">
        <f>+Zał.1_WPF_bazowy!S93</f>
        <v>1510000</v>
      </c>
      <c r="T98" s="311">
        <f>+Zał.1_WPF_bazowy!T93</f>
        <v>1548000</v>
      </c>
      <c r="U98" s="311">
        <f>+Zał.1_WPF_bazowy!U93</f>
        <v>0</v>
      </c>
      <c r="V98" s="311">
        <f>+Zał.1_WPF_bazowy!V93</f>
        <v>0</v>
      </c>
      <c r="W98" s="311">
        <f>+Zał.1_WPF_bazowy!W93</f>
        <v>0</v>
      </c>
      <c r="X98" s="311">
        <f>+Zał.1_WPF_bazowy!X93</f>
        <v>0</v>
      </c>
      <c r="Y98" s="311">
        <f>+Zał.1_WPF_bazowy!Y93</f>
        <v>0</v>
      </c>
      <c r="Z98" s="311">
        <f>+Zał.1_WPF_bazowy!Z93</f>
        <v>0</v>
      </c>
      <c r="AA98" s="311">
        <f>+Zał.1_WPF_bazowy!AA93</f>
        <v>0</v>
      </c>
      <c r="AB98" s="311">
        <f>+Zał.1_WPF_bazowy!AB93</f>
        <v>0</v>
      </c>
      <c r="AC98" s="311">
        <f>+Zał.1_WPF_bazowy!AC93</f>
        <v>0</v>
      </c>
      <c r="AD98" s="311">
        <f>+Zał.1_WPF_bazowy!AD93</f>
        <v>0</v>
      </c>
      <c r="AE98" s="311">
        <f>+Zał.1_WPF_bazowy!AE93</f>
        <v>0</v>
      </c>
      <c r="AF98" s="311">
        <f>+Zał.1_WPF_bazowy!AF93</f>
        <v>0</v>
      </c>
      <c r="AG98" s="311">
        <f>+Zał.1_WPF_bazowy!AG93</f>
        <v>0</v>
      </c>
      <c r="AH98" s="311">
        <f>+Zał.1_WPF_bazowy!AH93</f>
        <v>0</v>
      </c>
      <c r="AI98" s="311">
        <f>+Zał.1_WPF_bazowy!AI93</f>
        <v>0</v>
      </c>
      <c r="AJ98" s="311">
        <f>+Zał.1_WPF_bazowy!AJ93</f>
        <v>0</v>
      </c>
      <c r="AK98" s="311">
        <f>+Zał.1_WPF_bazowy!AK93</f>
        <v>0</v>
      </c>
      <c r="AL98" s="312">
        <f>+Zał.1_WPF_bazowy!AL93</f>
        <v>0</v>
      </c>
    </row>
    <row r="99" spans="1:39" outlineLevel="2">
      <c r="A99" s="375" t="s">
        <v>31</v>
      </c>
      <c r="B99" s="48" t="s">
        <v>208</v>
      </c>
      <c r="C99" s="257"/>
      <c r="D99" s="355" t="s">
        <v>265</v>
      </c>
      <c r="E99" s="246">
        <f>Zał.1_WPF_bazowy!E94</f>
        <v>0</v>
      </c>
      <c r="F99" s="247">
        <f>Zał.1_WPF_bazowy!F94</f>
        <v>0</v>
      </c>
      <c r="G99" s="247">
        <f>Zał.1_WPF_bazowy!G94</f>
        <v>29550</v>
      </c>
      <c r="H99" s="309">
        <f>Zał.1_WPF_bazowy!H94</f>
        <v>49550</v>
      </c>
      <c r="I99" s="310">
        <f>+Zał.1_WPF_bazowy!I94</f>
        <v>19700</v>
      </c>
      <c r="J99" s="311">
        <f>+Zał.1_WPF_bazowy!J94</f>
        <v>9850</v>
      </c>
      <c r="K99" s="311">
        <f>+Zał.1_WPF_bazowy!K94</f>
        <v>0</v>
      </c>
      <c r="L99" s="311">
        <f>+Zał.1_WPF_bazowy!L94</f>
        <v>0</v>
      </c>
      <c r="M99" s="311">
        <f>+Zał.1_WPF_bazowy!M94</f>
        <v>0</v>
      </c>
      <c r="N99" s="311">
        <f>+Zał.1_WPF_bazowy!N94</f>
        <v>0</v>
      </c>
      <c r="O99" s="311">
        <f>+Zał.1_WPF_bazowy!O94</f>
        <v>0</v>
      </c>
      <c r="P99" s="311">
        <f>+Zał.1_WPF_bazowy!P94</f>
        <v>0</v>
      </c>
      <c r="Q99" s="311">
        <f>+Zał.1_WPF_bazowy!Q94</f>
        <v>0</v>
      </c>
      <c r="R99" s="311">
        <f>+Zał.1_WPF_bazowy!R94</f>
        <v>0</v>
      </c>
      <c r="S99" s="311">
        <f>+Zał.1_WPF_bazowy!S94</f>
        <v>0</v>
      </c>
      <c r="T99" s="311">
        <f>+Zał.1_WPF_bazowy!T94</f>
        <v>0</v>
      </c>
      <c r="U99" s="311">
        <f>+Zał.1_WPF_bazowy!U94</f>
        <v>0</v>
      </c>
      <c r="V99" s="311">
        <f>+Zał.1_WPF_bazowy!V94</f>
        <v>0</v>
      </c>
      <c r="W99" s="311">
        <f>+Zał.1_WPF_bazowy!W94</f>
        <v>0</v>
      </c>
      <c r="X99" s="311">
        <f>+Zał.1_WPF_bazowy!X94</f>
        <v>0</v>
      </c>
      <c r="Y99" s="311">
        <f>+Zał.1_WPF_bazowy!Y94</f>
        <v>0</v>
      </c>
      <c r="Z99" s="311">
        <f>+Zał.1_WPF_bazowy!Z94</f>
        <v>0</v>
      </c>
      <c r="AA99" s="311">
        <f>+Zał.1_WPF_bazowy!AA94</f>
        <v>0</v>
      </c>
      <c r="AB99" s="311">
        <f>+Zał.1_WPF_bazowy!AB94</f>
        <v>0</v>
      </c>
      <c r="AC99" s="311">
        <f>+Zał.1_WPF_bazowy!AC94</f>
        <v>0</v>
      </c>
      <c r="AD99" s="311">
        <f>+Zał.1_WPF_bazowy!AD94</f>
        <v>0</v>
      </c>
      <c r="AE99" s="311">
        <f>+Zał.1_WPF_bazowy!AE94</f>
        <v>0</v>
      </c>
      <c r="AF99" s="311">
        <f>+Zał.1_WPF_bazowy!AF94</f>
        <v>0</v>
      </c>
      <c r="AG99" s="311">
        <f>+Zał.1_WPF_bazowy!AG94</f>
        <v>0</v>
      </c>
      <c r="AH99" s="311">
        <f>+Zał.1_WPF_bazowy!AH94</f>
        <v>0</v>
      </c>
      <c r="AI99" s="311">
        <f>+Zał.1_WPF_bazowy!AI94</f>
        <v>0</v>
      </c>
      <c r="AJ99" s="311">
        <f>+Zał.1_WPF_bazowy!AJ94</f>
        <v>0</v>
      </c>
      <c r="AK99" s="311">
        <f>+Zał.1_WPF_bazowy!AK94</f>
        <v>0</v>
      </c>
      <c r="AL99" s="312">
        <f>+Zał.1_WPF_bazowy!AL94</f>
        <v>0</v>
      </c>
    </row>
    <row r="100" spans="1:39" outlineLevel="2">
      <c r="A100" s="375" t="s">
        <v>31</v>
      </c>
      <c r="B100" s="48" t="s">
        <v>209</v>
      </c>
      <c r="C100" s="257"/>
      <c r="D100" s="355" t="s">
        <v>267</v>
      </c>
      <c r="E100" s="246">
        <f>Zał.1_WPF_bazowy!E95</f>
        <v>0</v>
      </c>
      <c r="F100" s="247">
        <f>Zał.1_WPF_bazowy!F95</f>
        <v>0</v>
      </c>
      <c r="G100" s="247">
        <f>Zał.1_WPF_bazowy!G95</f>
        <v>9850</v>
      </c>
      <c r="H100" s="309">
        <f>Zał.1_WPF_bazowy!H95</f>
        <v>29850</v>
      </c>
      <c r="I100" s="310">
        <f>+Zał.1_WPF_bazowy!I95</f>
        <v>29850</v>
      </c>
      <c r="J100" s="311">
        <f>+Zał.1_WPF_bazowy!J95</f>
        <v>9850</v>
      </c>
      <c r="K100" s="311">
        <f>+Zał.1_WPF_bazowy!K95</f>
        <v>9850</v>
      </c>
      <c r="L100" s="311">
        <f>+Zał.1_WPF_bazowy!L95</f>
        <v>0</v>
      </c>
      <c r="M100" s="311">
        <f>+Zał.1_WPF_bazowy!M95</f>
        <v>0</v>
      </c>
      <c r="N100" s="311">
        <f>+Zał.1_WPF_bazowy!N95</f>
        <v>0</v>
      </c>
      <c r="O100" s="311">
        <f>+Zał.1_WPF_bazowy!O95</f>
        <v>0</v>
      </c>
      <c r="P100" s="311">
        <f>+Zał.1_WPF_bazowy!P95</f>
        <v>0</v>
      </c>
      <c r="Q100" s="311">
        <f>+Zał.1_WPF_bazowy!Q95</f>
        <v>0</v>
      </c>
      <c r="R100" s="311">
        <f>+Zał.1_WPF_bazowy!R95</f>
        <v>0</v>
      </c>
      <c r="S100" s="311">
        <f>+Zał.1_WPF_bazowy!S95</f>
        <v>0</v>
      </c>
      <c r="T100" s="311">
        <f>+Zał.1_WPF_bazowy!T95</f>
        <v>0</v>
      </c>
      <c r="U100" s="311">
        <f>+Zał.1_WPF_bazowy!U95</f>
        <v>0</v>
      </c>
      <c r="V100" s="311">
        <f>+Zał.1_WPF_bazowy!V95</f>
        <v>0</v>
      </c>
      <c r="W100" s="311">
        <f>+Zał.1_WPF_bazowy!W95</f>
        <v>0</v>
      </c>
      <c r="X100" s="311">
        <f>+Zał.1_WPF_bazowy!X95</f>
        <v>0</v>
      </c>
      <c r="Y100" s="311">
        <f>+Zał.1_WPF_bazowy!Y95</f>
        <v>0</v>
      </c>
      <c r="Z100" s="311">
        <f>+Zał.1_WPF_bazowy!Z95</f>
        <v>0</v>
      </c>
      <c r="AA100" s="311">
        <f>+Zał.1_WPF_bazowy!AA95</f>
        <v>0</v>
      </c>
      <c r="AB100" s="311">
        <f>+Zał.1_WPF_bazowy!AB95</f>
        <v>0</v>
      </c>
      <c r="AC100" s="311">
        <f>+Zał.1_WPF_bazowy!AC95</f>
        <v>0</v>
      </c>
      <c r="AD100" s="311">
        <f>+Zał.1_WPF_bazowy!AD95</f>
        <v>0</v>
      </c>
      <c r="AE100" s="311">
        <f>+Zał.1_WPF_bazowy!AE95</f>
        <v>0</v>
      </c>
      <c r="AF100" s="311">
        <f>+Zał.1_WPF_bazowy!AF95</f>
        <v>0</v>
      </c>
      <c r="AG100" s="311">
        <f>+Zał.1_WPF_bazowy!AG95</f>
        <v>0</v>
      </c>
      <c r="AH100" s="311">
        <f>+Zał.1_WPF_bazowy!AH95</f>
        <v>0</v>
      </c>
      <c r="AI100" s="311">
        <f>+Zał.1_WPF_bazowy!AI95</f>
        <v>0</v>
      </c>
      <c r="AJ100" s="311">
        <f>+Zał.1_WPF_bazowy!AJ95</f>
        <v>0</v>
      </c>
      <c r="AK100" s="311">
        <f>+Zał.1_WPF_bazowy!AK95</f>
        <v>0</v>
      </c>
      <c r="AL100" s="312">
        <f>+Zał.1_WPF_bazowy!AL95</f>
        <v>0</v>
      </c>
    </row>
    <row r="101" spans="1:39" outlineLevel="2">
      <c r="A101" s="375" t="s">
        <v>31</v>
      </c>
      <c r="B101" s="48" t="s">
        <v>157</v>
      </c>
      <c r="C101" s="257"/>
      <c r="D101" s="356" t="s">
        <v>266</v>
      </c>
      <c r="E101" s="246">
        <f>Zał.1_WPF_bazowy!E96</f>
        <v>0</v>
      </c>
      <c r="F101" s="247">
        <f>Zał.1_WPF_bazowy!F96</f>
        <v>0</v>
      </c>
      <c r="G101" s="247">
        <f>Zał.1_WPF_bazowy!G96</f>
        <v>0</v>
      </c>
      <c r="H101" s="309">
        <f>Zał.1_WPF_bazowy!H96</f>
        <v>0</v>
      </c>
      <c r="I101" s="310">
        <f>+Zał.1_WPF_bazowy!I96</f>
        <v>20000</v>
      </c>
      <c r="J101" s="311">
        <f>+Zał.1_WPF_bazowy!J96</f>
        <v>0</v>
      </c>
      <c r="K101" s="311">
        <f>+Zał.1_WPF_bazowy!K96</f>
        <v>0</v>
      </c>
      <c r="L101" s="311">
        <f>+Zał.1_WPF_bazowy!L96</f>
        <v>0</v>
      </c>
      <c r="M101" s="311">
        <f>+Zał.1_WPF_bazowy!M96</f>
        <v>0</v>
      </c>
      <c r="N101" s="311">
        <f>+Zał.1_WPF_bazowy!N96</f>
        <v>0</v>
      </c>
      <c r="O101" s="311">
        <f>+Zał.1_WPF_bazowy!O96</f>
        <v>0</v>
      </c>
      <c r="P101" s="311">
        <f>+Zał.1_WPF_bazowy!P96</f>
        <v>0</v>
      </c>
      <c r="Q101" s="311">
        <f>+Zał.1_WPF_bazowy!Q96</f>
        <v>0</v>
      </c>
      <c r="R101" s="311">
        <f>+Zał.1_WPF_bazowy!R96</f>
        <v>0</v>
      </c>
      <c r="S101" s="311">
        <f>+Zał.1_WPF_bazowy!S96</f>
        <v>0</v>
      </c>
      <c r="T101" s="311">
        <f>+Zał.1_WPF_bazowy!T96</f>
        <v>0</v>
      </c>
      <c r="U101" s="311">
        <f>+Zał.1_WPF_bazowy!U96</f>
        <v>0</v>
      </c>
      <c r="V101" s="311">
        <f>+Zał.1_WPF_bazowy!V96</f>
        <v>0</v>
      </c>
      <c r="W101" s="311">
        <f>+Zał.1_WPF_bazowy!W96</f>
        <v>0</v>
      </c>
      <c r="X101" s="311">
        <f>+Zał.1_WPF_bazowy!X96</f>
        <v>0</v>
      </c>
      <c r="Y101" s="311">
        <f>+Zał.1_WPF_bazowy!Y96</f>
        <v>0</v>
      </c>
      <c r="Z101" s="311">
        <f>+Zał.1_WPF_bazowy!Z96</f>
        <v>0</v>
      </c>
      <c r="AA101" s="311">
        <f>+Zał.1_WPF_bazowy!AA96</f>
        <v>0</v>
      </c>
      <c r="AB101" s="311">
        <f>+Zał.1_WPF_bazowy!AB96</f>
        <v>0</v>
      </c>
      <c r="AC101" s="311">
        <f>+Zał.1_WPF_bazowy!AC96</f>
        <v>0</v>
      </c>
      <c r="AD101" s="311">
        <f>+Zał.1_WPF_bazowy!AD96</f>
        <v>0</v>
      </c>
      <c r="AE101" s="311">
        <f>+Zał.1_WPF_bazowy!AE96</f>
        <v>0</v>
      </c>
      <c r="AF101" s="311">
        <f>+Zał.1_WPF_bazowy!AF96</f>
        <v>0</v>
      </c>
      <c r="AG101" s="311">
        <f>+Zał.1_WPF_bazowy!AG96</f>
        <v>0</v>
      </c>
      <c r="AH101" s="311">
        <f>+Zał.1_WPF_bazowy!AH96</f>
        <v>0</v>
      </c>
      <c r="AI101" s="311">
        <f>+Zał.1_WPF_bazowy!AI96</f>
        <v>0</v>
      </c>
      <c r="AJ101" s="311">
        <f>+Zał.1_WPF_bazowy!AJ96</f>
        <v>0</v>
      </c>
      <c r="AK101" s="311">
        <f>+Zał.1_WPF_bazowy!AK96</f>
        <v>0</v>
      </c>
      <c r="AL101" s="312">
        <f>+Zał.1_WPF_bazowy!AL96</f>
        <v>0</v>
      </c>
    </row>
    <row r="102" spans="1:39" outlineLevel="2">
      <c r="A102" s="375" t="s">
        <v>31</v>
      </c>
      <c r="B102" s="48" t="s">
        <v>159</v>
      </c>
      <c r="C102" s="257"/>
      <c r="D102" s="356" t="s">
        <v>268</v>
      </c>
      <c r="E102" s="246">
        <f>Zał.1_WPF_bazowy!E97</f>
        <v>0</v>
      </c>
      <c r="F102" s="247">
        <f>Zał.1_WPF_bazowy!F97</f>
        <v>0</v>
      </c>
      <c r="G102" s="247">
        <f>Zał.1_WPF_bazowy!G97</f>
        <v>9850</v>
      </c>
      <c r="H102" s="309">
        <f>Zał.1_WPF_bazowy!H97</f>
        <v>9850</v>
      </c>
      <c r="I102" s="310">
        <f>+Zał.1_WPF_bazowy!I97</f>
        <v>9850</v>
      </c>
      <c r="J102" s="311">
        <f>+Zał.1_WPF_bazowy!J97</f>
        <v>9850</v>
      </c>
      <c r="K102" s="311">
        <f>+Zał.1_WPF_bazowy!K97</f>
        <v>9850</v>
      </c>
      <c r="L102" s="311">
        <f>+Zał.1_WPF_bazowy!L97</f>
        <v>0</v>
      </c>
      <c r="M102" s="311">
        <f>+Zał.1_WPF_bazowy!M97</f>
        <v>0</v>
      </c>
      <c r="N102" s="311">
        <f>+Zał.1_WPF_bazowy!N97</f>
        <v>0</v>
      </c>
      <c r="O102" s="311">
        <f>+Zał.1_WPF_bazowy!O97</f>
        <v>0</v>
      </c>
      <c r="P102" s="311">
        <f>+Zał.1_WPF_bazowy!P97</f>
        <v>0</v>
      </c>
      <c r="Q102" s="311">
        <f>+Zał.1_WPF_bazowy!Q97</f>
        <v>0</v>
      </c>
      <c r="R102" s="311">
        <f>+Zał.1_WPF_bazowy!R97</f>
        <v>0</v>
      </c>
      <c r="S102" s="311">
        <f>+Zał.1_WPF_bazowy!S97</f>
        <v>0</v>
      </c>
      <c r="T102" s="311">
        <f>+Zał.1_WPF_bazowy!T97</f>
        <v>0</v>
      </c>
      <c r="U102" s="311">
        <f>+Zał.1_WPF_bazowy!U97</f>
        <v>0</v>
      </c>
      <c r="V102" s="311">
        <f>+Zał.1_WPF_bazowy!V97</f>
        <v>0</v>
      </c>
      <c r="W102" s="311">
        <f>+Zał.1_WPF_bazowy!W97</f>
        <v>0</v>
      </c>
      <c r="X102" s="311">
        <f>+Zał.1_WPF_bazowy!X97</f>
        <v>0</v>
      </c>
      <c r="Y102" s="311">
        <f>+Zał.1_WPF_bazowy!Y97</f>
        <v>0</v>
      </c>
      <c r="Z102" s="311">
        <f>+Zał.1_WPF_bazowy!Z97</f>
        <v>0</v>
      </c>
      <c r="AA102" s="311">
        <f>+Zał.1_WPF_bazowy!AA97</f>
        <v>0</v>
      </c>
      <c r="AB102" s="311">
        <f>+Zał.1_WPF_bazowy!AB97</f>
        <v>0</v>
      </c>
      <c r="AC102" s="311">
        <f>+Zał.1_WPF_bazowy!AC97</f>
        <v>0</v>
      </c>
      <c r="AD102" s="311">
        <f>+Zał.1_WPF_bazowy!AD97</f>
        <v>0</v>
      </c>
      <c r="AE102" s="311">
        <f>+Zał.1_WPF_bazowy!AE97</f>
        <v>0</v>
      </c>
      <c r="AF102" s="311">
        <f>+Zał.1_WPF_bazowy!AF97</f>
        <v>0</v>
      </c>
      <c r="AG102" s="311">
        <f>+Zał.1_WPF_bazowy!AG97</f>
        <v>0</v>
      </c>
      <c r="AH102" s="311">
        <f>+Zał.1_WPF_bazowy!AH97</f>
        <v>0</v>
      </c>
      <c r="AI102" s="311">
        <f>+Zał.1_WPF_bazowy!AI97</f>
        <v>0</v>
      </c>
      <c r="AJ102" s="311">
        <f>+Zał.1_WPF_bazowy!AJ97</f>
        <v>0</v>
      </c>
      <c r="AK102" s="311">
        <f>+Zał.1_WPF_bazowy!AK97</f>
        <v>0</v>
      </c>
      <c r="AL102" s="312">
        <f>+Zał.1_WPF_bazowy!AL97</f>
        <v>0</v>
      </c>
    </row>
    <row r="103" spans="1:39" outlineLevel="2">
      <c r="A103" s="375" t="s">
        <v>31</v>
      </c>
      <c r="B103" s="48" t="s">
        <v>161</v>
      </c>
      <c r="C103" s="257"/>
      <c r="D103" s="356" t="s">
        <v>269</v>
      </c>
      <c r="E103" s="246">
        <f>Zał.1_WPF_bazowy!E98</f>
        <v>0</v>
      </c>
      <c r="F103" s="247">
        <f>Zał.1_WPF_bazowy!F98</f>
        <v>0</v>
      </c>
      <c r="G103" s="247">
        <f>Zał.1_WPF_bazowy!G98</f>
        <v>0</v>
      </c>
      <c r="H103" s="309">
        <f>Zał.1_WPF_bazowy!H98</f>
        <v>0</v>
      </c>
      <c r="I103" s="310">
        <f>+Zał.1_WPF_bazowy!I98</f>
        <v>0</v>
      </c>
      <c r="J103" s="311">
        <f>+Zał.1_WPF_bazowy!J98</f>
        <v>0</v>
      </c>
      <c r="K103" s="311">
        <f>+Zał.1_WPF_bazowy!K98</f>
        <v>0</v>
      </c>
      <c r="L103" s="311">
        <f>+Zał.1_WPF_bazowy!L98</f>
        <v>0</v>
      </c>
      <c r="M103" s="311">
        <f>+Zał.1_WPF_bazowy!M98</f>
        <v>0</v>
      </c>
      <c r="N103" s="311">
        <f>+Zał.1_WPF_bazowy!N98</f>
        <v>0</v>
      </c>
      <c r="O103" s="311">
        <f>+Zał.1_WPF_bazowy!O98</f>
        <v>0</v>
      </c>
      <c r="P103" s="311">
        <f>+Zał.1_WPF_bazowy!P98</f>
        <v>0</v>
      </c>
      <c r="Q103" s="311">
        <f>+Zał.1_WPF_bazowy!Q98</f>
        <v>0</v>
      </c>
      <c r="R103" s="311">
        <f>+Zał.1_WPF_bazowy!R98</f>
        <v>0</v>
      </c>
      <c r="S103" s="311">
        <f>+Zał.1_WPF_bazowy!S98</f>
        <v>0</v>
      </c>
      <c r="T103" s="311">
        <f>+Zał.1_WPF_bazowy!T98</f>
        <v>0</v>
      </c>
      <c r="U103" s="311">
        <f>+Zał.1_WPF_bazowy!U98</f>
        <v>0</v>
      </c>
      <c r="V103" s="311">
        <f>+Zał.1_WPF_bazowy!V98</f>
        <v>0</v>
      </c>
      <c r="W103" s="311">
        <f>+Zał.1_WPF_bazowy!W98</f>
        <v>0</v>
      </c>
      <c r="X103" s="311">
        <f>+Zał.1_WPF_bazowy!X98</f>
        <v>0</v>
      </c>
      <c r="Y103" s="311">
        <f>+Zał.1_WPF_bazowy!Y98</f>
        <v>0</v>
      </c>
      <c r="Z103" s="311">
        <f>+Zał.1_WPF_bazowy!Z98</f>
        <v>0</v>
      </c>
      <c r="AA103" s="311">
        <f>+Zał.1_WPF_bazowy!AA98</f>
        <v>0</v>
      </c>
      <c r="AB103" s="311">
        <f>+Zał.1_WPF_bazowy!AB98</f>
        <v>0</v>
      </c>
      <c r="AC103" s="311">
        <f>+Zał.1_WPF_bazowy!AC98</f>
        <v>0</v>
      </c>
      <c r="AD103" s="311">
        <f>+Zał.1_WPF_bazowy!AD98</f>
        <v>0</v>
      </c>
      <c r="AE103" s="311">
        <f>+Zał.1_WPF_bazowy!AE98</f>
        <v>0</v>
      </c>
      <c r="AF103" s="311">
        <f>+Zał.1_WPF_bazowy!AF98</f>
        <v>0</v>
      </c>
      <c r="AG103" s="311">
        <f>+Zał.1_WPF_bazowy!AG98</f>
        <v>0</v>
      </c>
      <c r="AH103" s="311">
        <f>+Zał.1_WPF_bazowy!AH98</f>
        <v>0</v>
      </c>
      <c r="AI103" s="311">
        <f>+Zał.1_WPF_bazowy!AI98</f>
        <v>0</v>
      </c>
      <c r="AJ103" s="311">
        <f>+Zał.1_WPF_bazowy!AJ98</f>
        <v>0</v>
      </c>
      <c r="AK103" s="311">
        <f>+Zał.1_WPF_bazowy!AK98</f>
        <v>0</v>
      </c>
      <c r="AL103" s="312">
        <f>+Zał.1_WPF_bazowy!AL98</f>
        <v>0</v>
      </c>
    </row>
    <row r="104" spans="1:39" outlineLevel="2">
      <c r="A104" s="375" t="s">
        <v>31</v>
      </c>
      <c r="B104" s="49" t="s">
        <v>210</v>
      </c>
      <c r="C104" s="258"/>
      <c r="D104" s="371" t="s">
        <v>270</v>
      </c>
      <c r="E104" s="254">
        <f>Zał.1_WPF_bazowy!E99</f>
        <v>0</v>
      </c>
      <c r="F104" s="255">
        <f>Zał.1_WPF_bazowy!F99</f>
        <v>0</v>
      </c>
      <c r="G104" s="255">
        <f>Zał.1_WPF_bazowy!G99</f>
        <v>0</v>
      </c>
      <c r="H104" s="328">
        <f>Zał.1_WPF_bazowy!H99</f>
        <v>0</v>
      </c>
      <c r="I104" s="329">
        <f>+Zał.1_WPF_bazowy!I99</f>
        <v>6750.55</v>
      </c>
      <c r="J104" s="330">
        <f>+Zał.1_WPF_bazowy!J99</f>
        <v>0</v>
      </c>
      <c r="K104" s="330">
        <f>+Zał.1_WPF_bazowy!K99</f>
        <v>0</v>
      </c>
      <c r="L104" s="330">
        <f>+Zał.1_WPF_bazowy!L99</f>
        <v>0</v>
      </c>
      <c r="M104" s="330">
        <f>+Zał.1_WPF_bazowy!M99</f>
        <v>0</v>
      </c>
      <c r="N104" s="330">
        <f>+Zał.1_WPF_bazowy!N99</f>
        <v>0</v>
      </c>
      <c r="O104" s="330">
        <f>+Zał.1_WPF_bazowy!O99</f>
        <v>0</v>
      </c>
      <c r="P104" s="330">
        <f>+Zał.1_WPF_bazowy!P99</f>
        <v>0</v>
      </c>
      <c r="Q104" s="330">
        <f>+Zał.1_WPF_bazowy!Q99</f>
        <v>0</v>
      </c>
      <c r="R104" s="330">
        <f>+Zał.1_WPF_bazowy!R99</f>
        <v>0</v>
      </c>
      <c r="S104" s="330">
        <f>+Zał.1_WPF_bazowy!S99</f>
        <v>0</v>
      </c>
      <c r="T104" s="330">
        <f>+Zał.1_WPF_bazowy!T99</f>
        <v>0</v>
      </c>
      <c r="U104" s="330">
        <f>+Zał.1_WPF_bazowy!U99</f>
        <v>0</v>
      </c>
      <c r="V104" s="330">
        <f>+Zał.1_WPF_bazowy!V99</f>
        <v>0</v>
      </c>
      <c r="W104" s="330">
        <f>+Zał.1_WPF_bazowy!W99</f>
        <v>0</v>
      </c>
      <c r="X104" s="330">
        <f>+Zał.1_WPF_bazowy!X99</f>
        <v>0</v>
      </c>
      <c r="Y104" s="330">
        <f>+Zał.1_WPF_bazowy!Y99</f>
        <v>0</v>
      </c>
      <c r="Z104" s="330">
        <f>+Zał.1_WPF_bazowy!Z99</f>
        <v>0</v>
      </c>
      <c r="AA104" s="330">
        <f>+Zał.1_WPF_bazowy!AA99</f>
        <v>0</v>
      </c>
      <c r="AB104" s="330">
        <f>+Zał.1_WPF_bazowy!AB99</f>
        <v>0</v>
      </c>
      <c r="AC104" s="330">
        <f>+Zał.1_WPF_bazowy!AC99</f>
        <v>0</v>
      </c>
      <c r="AD104" s="330">
        <f>+Zał.1_WPF_bazowy!AD99</f>
        <v>0</v>
      </c>
      <c r="AE104" s="330">
        <f>+Zał.1_WPF_bazowy!AE99</f>
        <v>0</v>
      </c>
      <c r="AF104" s="330">
        <f>+Zał.1_WPF_bazowy!AF99</f>
        <v>0</v>
      </c>
      <c r="AG104" s="330">
        <f>+Zał.1_WPF_bazowy!AG99</f>
        <v>0</v>
      </c>
      <c r="AH104" s="330">
        <f>+Zał.1_WPF_bazowy!AH99</f>
        <v>0</v>
      </c>
      <c r="AI104" s="330">
        <f>+Zał.1_WPF_bazowy!AI99</f>
        <v>0</v>
      </c>
      <c r="AJ104" s="330">
        <f>+Zał.1_WPF_bazowy!AJ99</f>
        <v>0</v>
      </c>
      <c r="AK104" s="330">
        <f>+Zał.1_WPF_bazowy!AK99</f>
        <v>0</v>
      </c>
      <c r="AL104" s="331">
        <f>+Zał.1_WPF_bazowy!AL99</f>
        <v>0</v>
      </c>
    </row>
    <row r="105" spans="1:39">
      <c r="B105" s="130"/>
      <c r="C105" s="130"/>
      <c r="D105" s="130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</row>
    <row r="106" spans="1:39">
      <c r="B106" s="130"/>
      <c r="C106" s="130"/>
      <c r="D106" s="130"/>
      <c r="E106" s="332"/>
      <c r="F106" s="332"/>
      <c r="G106" s="332"/>
      <c r="H106" s="332"/>
      <c r="I106" s="332"/>
      <c r="J106" s="42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</row>
    <row r="107" spans="1:39">
      <c r="B107" s="130"/>
      <c r="C107" s="130"/>
      <c r="D107" s="130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</row>
    <row r="108" spans="1:39">
      <c r="B108" s="159"/>
      <c r="C108" s="159"/>
      <c r="D108" s="130"/>
      <c r="E108" s="333"/>
      <c r="F108" s="333"/>
      <c r="G108" s="333"/>
      <c r="H108" s="333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</row>
    <row r="109" spans="1:39">
      <c r="B109" s="159"/>
      <c r="C109" s="159"/>
      <c r="D109" s="130"/>
      <c r="E109" s="333"/>
      <c r="F109" s="333"/>
      <c r="G109" s="333"/>
      <c r="H109" s="333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</row>
    <row r="110" spans="1:39" s="85" customFormat="1" ht="15">
      <c r="A110" s="375"/>
      <c r="B110" s="160" t="s">
        <v>383</v>
      </c>
      <c r="C110" s="160"/>
      <c r="D110" s="160"/>
      <c r="E110" s="161"/>
      <c r="F110" s="161"/>
      <c r="G110" s="161"/>
      <c r="H110" s="158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27"/>
    </row>
    <row r="111" spans="1:39" s="85" customFormat="1" outlineLevel="1">
      <c r="A111" s="375"/>
      <c r="B111" s="162"/>
      <c r="C111" s="162"/>
      <c r="D111" s="163" t="s">
        <v>384</v>
      </c>
      <c r="E111" s="158"/>
      <c r="F111" s="158"/>
      <c r="G111" s="158"/>
      <c r="H111" s="158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27"/>
    </row>
    <row r="112" spans="1:39" s="85" customFormat="1" outlineLevel="1">
      <c r="A112" s="375"/>
      <c r="B112" s="162"/>
      <c r="C112" s="162"/>
      <c r="D112" s="164" t="s">
        <v>385</v>
      </c>
      <c r="E112" s="158"/>
      <c r="F112" s="158"/>
      <c r="G112" s="158"/>
      <c r="H112" s="158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27"/>
    </row>
    <row r="113" spans="1:39" s="85" customFormat="1" outlineLevel="1">
      <c r="A113" s="375"/>
      <c r="B113" s="162"/>
      <c r="C113" s="162"/>
      <c r="D113" s="165" t="s">
        <v>337</v>
      </c>
      <c r="E113" s="158"/>
      <c r="F113" s="158"/>
      <c r="G113" s="158"/>
      <c r="H113" s="158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27"/>
    </row>
    <row r="114" spans="1:39" s="85" customFormat="1" outlineLevel="1">
      <c r="A114" s="375"/>
      <c r="B114" s="305"/>
      <c r="C114" s="305"/>
      <c r="D114" s="306" t="s">
        <v>443</v>
      </c>
      <c r="E114" s="158"/>
      <c r="F114" s="158"/>
      <c r="G114" s="158"/>
      <c r="H114" s="158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27"/>
    </row>
    <row r="115" spans="1:39" s="85" customFormat="1" outlineLevel="2">
      <c r="A115" s="375"/>
      <c r="B115" s="364"/>
      <c r="C115" s="365" t="s">
        <v>284</v>
      </c>
      <c r="D115" s="86" t="s">
        <v>332</v>
      </c>
      <c r="E115" s="404" t="s">
        <v>31</v>
      </c>
      <c r="F115" s="405" t="s">
        <v>31</v>
      </c>
      <c r="G115" s="405" t="s">
        <v>31</v>
      </c>
      <c r="H115" s="406" t="s">
        <v>31</v>
      </c>
      <c r="I115" s="341" t="str">
        <f>IF(ROUND(I11+I31+I33,2)&gt;=ROUND(I22-I25,2),"TAK","NIE")</f>
        <v>TAK</v>
      </c>
      <c r="J115" s="337" t="str">
        <f t="shared" ref="J115:AL115" si="22">IF(ROUND(J11+J31+J33,2)&gt;=ROUND(J22-J25,2),"TAK","NIE")</f>
        <v>TAK</v>
      </c>
      <c r="K115" s="337" t="str">
        <f t="shared" si="22"/>
        <v>TAK</v>
      </c>
      <c r="L115" s="337" t="str">
        <f t="shared" si="22"/>
        <v>TAK</v>
      </c>
      <c r="M115" s="337" t="str">
        <f t="shared" si="22"/>
        <v>TAK</v>
      </c>
      <c r="N115" s="337" t="str">
        <f t="shared" si="22"/>
        <v>TAK</v>
      </c>
      <c r="O115" s="337" t="str">
        <f t="shared" si="22"/>
        <v>TAK</v>
      </c>
      <c r="P115" s="337" t="str">
        <f t="shared" si="22"/>
        <v>TAK</v>
      </c>
      <c r="Q115" s="337" t="str">
        <f t="shared" si="22"/>
        <v>TAK</v>
      </c>
      <c r="R115" s="337" t="str">
        <f t="shared" si="22"/>
        <v>TAK</v>
      </c>
      <c r="S115" s="337" t="str">
        <f t="shared" si="22"/>
        <v>TAK</v>
      </c>
      <c r="T115" s="337" t="str">
        <f t="shared" si="22"/>
        <v>TAK</v>
      </c>
      <c r="U115" s="337" t="str">
        <f t="shared" si="22"/>
        <v>TAK</v>
      </c>
      <c r="V115" s="337" t="str">
        <f t="shared" si="22"/>
        <v>TAK</v>
      </c>
      <c r="W115" s="337" t="str">
        <f t="shared" si="22"/>
        <v>TAK</v>
      </c>
      <c r="X115" s="337" t="str">
        <f t="shared" si="22"/>
        <v>TAK</v>
      </c>
      <c r="Y115" s="337" t="str">
        <f t="shared" si="22"/>
        <v>TAK</v>
      </c>
      <c r="Z115" s="337" t="str">
        <f t="shared" si="22"/>
        <v>TAK</v>
      </c>
      <c r="AA115" s="337" t="str">
        <f t="shared" si="22"/>
        <v>TAK</v>
      </c>
      <c r="AB115" s="337" t="str">
        <f t="shared" si="22"/>
        <v>TAK</v>
      </c>
      <c r="AC115" s="337" t="str">
        <f t="shared" si="22"/>
        <v>TAK</v>
      </c>
      <c r="AD115" s="337" t="str">
        <f t="shared" si="22"/>
        <v>TAK</v>
      </c>
      <c r="AE115" s="337" t="str">
        <f t="shared" si="22"/>
        <v>TAK</v>
      </c>
      <c r="AF115" s="337" t="str">
        <f t="shared" si="22"/>
        <v>TAK</v>
      </c>
      <c r="AG115" s="337" t="str">
        <f t="shared" si="22"/>
        <v>TAK</v>
      </c>
      <c r="AH115" s="337" t="str">
        <f t="shared" si="22"/>
        <v>TAK</v>
      </c>
      <c r="AI115" s="337" t="str">
        <f t="shared" si="22"/>
        <v>TAK</v>
      </c>
      <c r="AJ115" s="337" t="str">
        <f t="shared" si="22"/>
        <v>TAK</v>
      </c>
      <c r="AK115" s="337" t="str">
        <f t="shared" si="22"/>
        <v>TAK</v>
      </c>
      <c r="AL115" s="338" t="str">
        <f t="shared" si="22"/>
        <v>TAK</v>
      </c>
    </row>
    <row r="116" spans="1:39" s="85" customFormat="1" outlineLevel="2">
      <c r="A116" s="375"/>
      <c r="B116" s="366"/>
      <c r="C116" s="367"/>
      <c r="D116" s="87" t="s">
        <v>279</v>
      </c>
      <c r="E116" s="407" t="s">
        <v>31</v>
      </c>
      <c r="F116" s="408" t="s">
        <v>31</v>
      </c>
      <c r="G116" s="408" t="s">
        <v>31</v>
      </c>
      <c r="H116" s="409" t="s">
        <v>31</v>
      </c>
      <c r="I116" s="342" t="str">
        <f>IF(I54&lt;=15%,"TAK","NIE")</f>
        <v>NIE</v>
      </c>
      <c r="J116" s="335" t="s">
        <v>31</v>
      </c>
      <c r="K116" s="335" t="s">
        <v>31</v>
      </c>
      <c r="L116" s="335" t="s">
        <v>31</v>
      </c>
      <c r="M116" s="335" t="s">
        <v>31</v>
      </c>
      <c r="N116" s="335" t="s">
        <v>31</v>
      </c>
      <c r="O116" s="335" t="s">
        <v>31</v>
      </c>
      <c r="P116" s="335" t="s">
        <v>31</v>
      </c>
      <c r="Q116" s="335" t="s">
        <v>31</v>
      </c>
      <c r="R116" s="335" t="s">
        <v>31</v>
      </c>
      <c r="S116" s="335" t="s">
        <v>31</v>
      </c>
      <c r="T116" s="335" t="s">
        <v>31</v>
      </c>
      <c r="U116" s="335" t="s">
        <v>31</v>
      </c>
      <c r="V116" s="335" t="s">
        <v>31</v>
      </c>
      <c r="W116" s="335" t="s">
        <v>31</v>
      </c>
      <c r="X116" s="335" t="s">
        <v>31</v>
      </c>
      <c r="Y116" s="335" t="s">
        <v>31</v>
      </c>
      <c r="Z116" s="335" t="s">
        <v>31</v>
      </c>
      <c r="AA116" s="335" t="s">
        <v>31</v>
      </c>
      <c r="AB116" s="335" t="s">
        <v>31</v>
      </c>
      <c r="AC116" s="335" t="s">
        <v>31</v>
      </c>
      <c r="AD116" s="335" t="s">
        <v>31</v>
      </c>
      <c r="AE116" s="335" t="s">
        <v>31</v>
      </c>
      <c r="AF116" s="335" t="s">
        <v>31</v>
      </c>
      <c r="AG116" s="335" t="s">
        <v>31</v>
      </c>
      <c r="AH116" s="335" t="s">
        <v>31</v>
      </c>
      <c r="AI116" s="335" t="s">
        <v>31</v>
      </c>
      <c r="AJ116" s="335" t="s">
        <v>31</v>
      </c>
      <c r="AK116" s="335" t="s">
        <v>31</v>
      </c>
      <c r="AL116" s="336" t="s">
        <v>31</v>
      </c>
    </row>
    <row r="117" spans="1:39" s="85" customFormat="1" outlineLevel="2">
      <c r="A117" s="375"/>
      <c r="B117" s="366"/>
      <c r="C117" s="367"/>
      <c r="D117" s="87" t="s">
        <v>280</v>
      </c>
      <c r="E117" s="407" t="s">
        <v>31</v>
      </c>
      <c r="F117" s="408" t="s">
        <v>31</v>
      </c>
      <c r="G117" s="408" t="s">
        <v>31</v>
      </c>
      <c r="H117" s="409" t="s">
        <v>31</v>
      </c>
      <c r="I117" s="342" t="str">
        <f>IF(I55&lt;=15%,"TAK","NIE")</f>
        <v>TAK</v>
      </c>
      <c r="J117" s="335" t="s">
        <v>31</v>
      </c>
      <c r="K117" s="335" t="s">
        <v>31</v>
      </c>
      <c r="L117" s="335" t="s">
        <v>31</v>
      </c>
      <c r="M117" s="335" t="s">
        <v>31</v>
      </c>
      <c r="N117" s="335" t="s">
        <v>31</v>
      </c>
      <c r="O117" s="335" t="s">
        <v>31</v>
      </c>
      <c r="P117" s="335" t="s">
        <v>31</v>
      </c>
      <c r="Q117" s="335" t="s">
        <v>31</v>
      </c>
      <c r="R117" s="335" t="s">
        <v>31</v>
      </c>
      <c r="S117" s="335" t="s">
        <v>31</v>
      </c>
      <c r="T117" s="335" t="s">
        <v>31</v>
      </c>
      <c r="U117" s="335" t="s">
        <v>31</v>
      </c>
      <c r="V117" s="335" t="s">
        <v>31</v>
      </c>
      <c r="W117" s="335" t="s">
        <v>31</v>
      </c>
      <c r="X117" s="335" t="s">
        <v>31</v>
      </c>
      <c r="Y117" s="335" t="s">
        <v>31</v>
      </c>
      <c r="Z117" s="335" t="s">
        <v>31</v>
      </c>
      <c r="AA117" s="335" t="s">
        <v>31</v>
      </c>
      <c r="AB117" s="335" t="s">
        <v>31</v>
      </c>
      <c r="AC117" s="335" t="s">
        <v>31</v>
      </c>
      <c r="AD117" s="335" t="s">
        <v>31</v>
      </c>
      <c r="AE117" s="335" t="s">
        <v>31</v>
      </c>
      <c r="AF117" s="335" t="s">
        <v>31</v>
      </c>
      <c r="AG117" s="335" t="s">
        <v>31</v>
      </c>
      <c r="AH117" s="335" t="s">
        <v>31</v>
      </c>
      <c r="AI117" s="335" t="s">
        <v>31</v>
      </c>
      <c r="AJ117" s="335" t="s">
        <v>31</v>
      </c>
      <c r="AK117" s="335" t="s">
        <v>31</v>
      </c>
      <c r="AL117" s="336" t="s">
        <v>31</v>
      </c>
    </row>
    <row r="118" spans="1:39" s="85" customFormat="1" outlineLevel="2">
      <c r="A118" s="375"/>
      <c r="B118" s="366"/>
      <c r="C118" s="367"/>
      <c r="D118" s="87" t="s">
        <v>386</v>
      </c>
      <c r="E118" s="407" t="s">
        <v>31</v>
      </c>
      <c r="F118" s="408" t="s">
        <v>31</v>
      </c>
      <c r="G118" s="408" t="s">
        <v>31</v>
      </c>
      <c r="H118" s="409" t="s">
        <v>31</v>
      </c>
      <c r="I118" s="342" t="str">
        <f>IF(I47&lt;=60%,"TAK","NIE")</f>
        <v>NIE</v>
      </c>
      <c r="J118" s="335" t="s">
        <v>31</v>
      </c>
      <c r="K118" s="335" t="s">
        <v>31</v>
      </c>
      <c r="L118" s="335" t="s">
        <v>31</v>
      </c>
      <c r="M118" s="335" t="s">
        <v>31</v>
      </c>
      <c r="N118" s="335" t="s">
        <v>31</v>
      </c>
      <c r="O118" s="335" t="s">
        <v>31</v>
      </c>
      <c r="P118" s="335" t="s">
        <v>31</v>
      </c>
      <c r="Q118" s="335" t="s">
        <v>31</v>
      </c>
      <c r="R118" s="335" t="s">
        <v>31</v>
      </c>
      <c r="S118" s="335" t="s">
        <v>31</v>
      </c>
      <c r="T118" s="335" t="s">
        <v>31</v>
      </c>
      <c r="U118" s="335" t="s">
        <v>31</v>
      </c>
      <c r="V118" s="335" t="s">
        <v>31</v>
      </c>
      <c r="W118" s="335" t="s">
        <v>31</v>
      </c>
      <c r="X118" s="335" t="s">
        <v>31</v>
      </c>
      <c r="Y118" s="335" t="s">
        <v>31</v>
      </c>
      <c r="Z118" s="335" t="s">
        <v>31</v>
      </c>
      <c r="AA118" s="335" t="s">
        <v>31</v>
      </c>
      <c r="AB118" s="335" t="s">
        <v>31</v>
      </c>
      <c r="AC118" s="335" t="s">
        <v>31</v>
      </c>
      <c r="AD118" s="335" t="s">
        <v>31</v>
      </c>
      <c r="AE118" s="335" t="s">
        <v>31</v>
      </c>
      <c r="AF118" s="335" t="s">
        <v>31</v>
      </c>
      <c r="AG118" s="335" t="s">
        <v>31</v>
      </c>
      <c r="AH118" s="335" t="s">
        <v>31</v>
      </c>
      <c r="AI118" s="335" t="s">
        <v>31</v>
      </c>
      <c r="AJ118" s="335" t="s">
        <v>31</v>
      </c>
      <c r="AK118" s="335" t="s">
        <v>31</v>
      </c>
      <c r="AL118" s="336" t="s">
        <v>31</v>
      </c>
    </row>
    <row r="119" spans="1:39" s="85" customFormat="1" outlineLevel="2">
      <c r="A119" s="375"/>
      <c r="B119" s="366"/>
      <c r="C119" s="367"/>
      <c r="D119" s="87" t="s">
        <v>281</v>
      </c>
      <c r="E119" s="407" t="s">
        <v>31</v>
      </c>
      <c r="F119" s="408" t="s">
        <v>31</v>
      </c>
      <c r="G119" s="408" t="s">
        <v>31</v>
      </c>
      <c r="H119" s="409" t="s">
        <v>31</v>
      </c>
      <c r="I119" s="342" t="str">
        <f>IF(I48&lt;=60%,"TAK","NIE")</f>
        <v>TAK</v>
      </c>
      <c r="J119" s="335" t="s">
        <v>31</v>
      </c>
      <c r="K119" s="335" t="s">
        <v>31</v>
      </c>
      <c r="L119" s="335" t="s">
        <v>31</v>
      </c>
      <c r="M119" s="335" t="s">
        <v>31</v>
      </c>
      <c r="N119" s="335" t="s">
        <v>31</v>
      </c>
      <c r="O119" s="335" t="s">
        <v>31</v>
      </c>
      <c r="P119" s="335" t="s">
        <v>31</v>
      </c>
      <c r="Q119" s="335" t="s">
        <v>31</v>
      </c>
      <c r="R119" s="335" t="s">
        <v>31</v>
      </c>
      <c r="S119" s="335" t="s">
        <v>31</v>
      </c>
      <c r="T119" s="335" t="s">
        <v>31</v>
      </c>
      <c r="U119" s="335" t="s">
        <v>31</v>
      </c>
      <c r="V119" s="335" t="s">
        <v>31</v>
      </c>
      <c r="W119" s="335" t="s">
        <v>31</v>
      </c>
      <c r="X119" s="335" t="s">
        <v>31</v>
      </c>
      <c r="Y119" s="335" t="s">
        <v>31</v>
      </c>
      <c r="Z119" s="335" t="s">
        <v>31</v>
      </c>
      <c r="AA119" s="335" t="s">
        <v>31</v>
      </c>
      <c r="AB119" s="335" t="s">
        <v>31</v>
      </c>
      <c r="AC119" s="335" t="s">
        <v>31</v>
      </c>
      <c r="AD119" s="335" t="s">
        <v>31</v>
      </c>
      <c r="AE119" s="335" t="s">
        <v>31</v>
      </c>
      <c r="AF119" s="335" t="s">
        <v>31</v>
      </c>
      <c r="AG119" s="335" t="s">
        <v>31</v>
      </c>
      <c r="AH119" s="335" t="s">
        <v>31</v>
      </c>
      <c r="AI119" s="335" t="s">
        <v>31</v>
      </c>
      <c r="AJ119" s="335" t="s">
        <v>31</v>
      </c>
      <c r="AK119" s="335" t="s">
        <v>31</v>
      </c>
      <c r="AL119" s="336" t="s">
        <v>31</v>
      </c>
    </row>
    <row r="120" spans="1:39" s="85" customFormat="1" ht="24" outlineLevel="2">
      <c r="A120" s="375"/>
      <c r="B120" s="366"/>
      <c r="C120" s="367" t="s">
        <v>282</v>
      </c>
      <c r="D120" s="87" t="s">
        <v>404</v>
      </c>
      <c r="E120" s="407" t="s">
        <v>31</v>
      </c>
      <c r="F120" s="408" t="s">
        <v>31</v>
      </c>
      <c r="G120" s="408" t="s">
        <v>31</v>
      </c>
      <c r="H120" s="409" t="s">
        <v>31</v>
      </c>
      <c r="I120" s="342" t="s">
        <v>31</v>
      </c>
      <c r="J120" s="335" t="s">
        <v>31</v>
      </c>
      <c r="K120" s="335" t="str">
        <f t="shared" ref="K120:AL120" si="23">IF(K92=0,"TAK","BŁĄD")</f>
        <v>TAK</v>
      </c>
      <c r="L120" s="335" t="str">
        <f t="shared" si="23"/>
        <v>TAK</v>
      </c>
      <c r="M120" s="335" t="str">
        <f t="shared" si="23"/>
        <v>TAK</v>
      </c>
      <c r="N120" s="335" t="str">
        <f t="shared" si="23"/>
        <v>TAK</v>
      </c>
      <c r="O120" s="335" t="str">
        <f t="shared" si="23"/>
        <v>TAK</v>
      </c>
      <c r="P120" s="335" t="str">
        <f t="shared" si="23"/>
        <v>TAK</v>
      </c>
      <c r="Q120" s="335" t="str">
        <f t="shared" si="23"/>
        <v>TAK</v>
      </c>
      <c r="R120" s="335" t="str">
        <f t="shared" si="23"/>
        <v>TAK</v>
      </c>
      <c r="S120" s="335" t="str">
        <f t="shared" si="23"/>
        <v>TAK</v>
      </c>
      <c r="T120" s="335" t="str">
        <f t="shared" si="23"/>
        <v>TAK</v>
      </c>
      <c r="U120" s="335" t="str">
        <f t="shared" si="23"/>
        <v>TAK</v>
      </c>
      <c r="V120" s="335" t="str">
        <f t="shared" si="23"/>
        <v>TAK</v>
      </c>
      <c r="W120" s="335" t="str">
        <f t="shared" si="23"/>
        <v>TAK</v>
      </c>
      <c r="X120" s="335" t="str">
        <f t="shared" si="23"/>
        <v>TAK</v>
      </c>
      <c r="Y120" s="335" t="str">
        <f t="shared" si="23"/>
        <v>TAK</v>
      </c>
      <c r="Z120" s="335" t="str">
        <f t="shared" si="23"/>
        <v>TAK</v>
      </c>
      <c r="AA120" s="335" t="str">
        <f t="shared" si="23"/>
        <v>TAK</v>
      </c>
      <c r="AB120" s="335" t="str">
        <f t="shared" si="23"/>
        <v>TAK</v>
      </c>
      <c r="AC120" s="335" t="str">
        <f t="shared" si="23"/>
        <v>TAK</v>
      </c>
      <c r="AD120" s="335" t="str">
        <f t="shared" si="23"/>
        <v>TAK</v>
      </c>
      <c r="AE120" s="335" t="str">
        <f t="shared" si="23"/>
        <v>TAK</v>
      </c>
      <c r="AF120" s="335" t="str">
        <f t="shared" si="23"/>
        <v>TAK</v>
      </c>
      <c r="AG120" s="335" t="str">
        <f t="shared" si="23"/>
        <v>TAK</v>
      </c>
      <c r="AH120" s="335" t="str">
        <f t="shared" si="23"/>
        <v>TAK</v>
      </c>
      <c r="AI120" s="335" t="str">
        <f t="shared" si="23"/>
        <v>TAK</v>
      </c>
      <c r="AJ120" s="335" t="str">
        <f t="shared" si="23"/>
        <v>TAK</v>
      </c>
      <c r="AK120" s="335" t="str">
        <f t="shared" si="23"/>
        <v>TAK</v>
      </c>
      <c r="AL120" s="336" t="str">
        <f t="shared" si="23"/>
        <v>TAK</v>
      </c>
    </row>
    <row r="121" spans="1:39" s="85" customFormat="1" outlineLevel="1">
      <c r="A121" s="375"/>
      <c r="B121" s="366"/>
      <c r="C121" s="367" t="s">
        <v>283</v>
      </c>
      <c r="D121" s="88" t="s">
        <v>333</v>
      </c>
      <c r="E121" s="407" t="s">
        <v>31</v>
      </c>
      <c r="F121" s="408" t="s">
        <v>31</v>
      </c>
      <c r="G121" s="408" t="s">
        <v>31</v>
      </c>
      <c r="H121" s="409" t="s">
        <v>31</v>
      </c>
      <c r="I121" s="347" t="str">
        <f>IF(ROUND(I10+I30-I21-I39,2)=0,"OK",ROUND(I10+I30-I21-I39,2))</f>
        <v>OK</v>
      </c>
      <c r="J121" s="348" t="str">
        <f t="shared" ref="J121:AL121" si="24">IF(ROUND(J10+J30-J21-J39,2)=0,"OK",ROUND(J10+J30-J21-J39,2))</f>
        <v>OK</v>
      </c>
      <c r="K121" s="348" t="str">
        <f t="shared" si="24"/>
        <v>OK</v>
      </c>
      <c r="L121" s="348" t="str">
        <f t="shared" si="24"/>
        <v>OK</v>
      </c>
      <c r="M121" s="348" t="str">
        <f t="shared" si="24"/>
        <v>OK</v>
      </c>
      <c r="N121" s="348" t="str">
        <f t="shared" si="24"/>
        <v>OK</v>
      </c>
      <c r="O121" s="348" t="str">
        <f t="shared" si="24"/>
        <v>OK</v>
      </c>
      <c r="P121" s="348" t="str">
        <f t="shared" si="24"/>
        <v>OK</v>
      </c>
      <c r="Q121" s="348" t="str">
        <f t="shared" si="24"/>
        <v>OK</v>
      </c>
      <c r="R121" s="348" t="str">
        <f t="shared" si="24"/>
        <v>OK</v>
      </c>
      <c r="S121" s="348" t="str">
        <f t="shared" si="24"/>
        <v>OK</v>
      </c>
      <c r="T121" s="348" t="str">
        <f t="shared" si="24"/>
        <v>OK</v>
      </c>
      <c r="U121" s="348" t="str">
        <f t="shared" si="24"/>
        <v>OK</v>
      </c>
      <c r="V121" s="348" t="str">
        <f t="shared" si="24"/>
        <v>OK</v>
      </c>
      <c r="W121" s="348" t="str">
        <f t="shared" si="24"/>
        <v>OK</v>
      </c>
      <c r="X121" s="348" t="str">
        <f t="shared" si="24"/>
        <v>OK</v>
      </c>
      <c r="Y121" s="348" t="str">
        <f t="shared" si="24"/>
        <v>OK</v>
      </c>
      <c r="Z121" s="348" t="str">
        <f t="shared" si="24"/>
        <v>OK</v>
      </c>
      <c r="AA121" s="348" t="str">
        <f t="shared" si="24"/>
        <v>OK</v>
      </c>
      <c r="AB121" s="348" t="str">
        <f t="shared" si="24"/>
        <v>OK</v>
      </c>
      <c r="AC121" s="348" t="str">
        <f t="shared" si="24"/>
        <v>OK</v>
      </c>
      <c r="AD121" s="348" t="str">
        <f t="shared" si="24"/>
        <v>OK</v>
      </c>
      <c r="AE121" s="348" t="str">
        <f t="shared" si="24"/>
        <v>OK</v>
      </c>
      <c r="AF121" s="348" t="str">
        <f t="shared" si="24"/>
        <v>OK</v>
      </c>
      <c r="AG121" s="348" t="str">
        <f t="shared" si="24"/>
        <v>OK</v>
      </c>
      <c r="AH121" s="348" t="str">
        <f t="shared" si="24"/>
        <v>OK</v>
      </c>
      <c r="AI121" s="348" t="str">
        <f t="shared" si="24"/>
        <v>OK</v>
      </c>
      <c r="AJ121" s="348" t="str">
        <f t="shared" si="24"/>
        <v>OK</v>
      </c>
      <c r="AK121" s="348" t="str">
        <f t="shared" si="24"/>
        <v>OK</v>
      </c>
      <c r="AL121" s="349" t="str">
        <f t="shared" si="24"/>
        <v>OK</v>
      </c>
    </row>
    <row r="122" spans="1:39" s="85" customFormat="1" outlineLevel="2">
      <c r="A122" s="375"/>
      <c r="B122" s="372"/>
      <c r="C122" s="379" t="s">
        <v>465</v>
      </c>
      <c r="D122" s="88" t="s">
        <v>334</v>
      </c>
      <c r="E122" s="407" t="s">
        <v>31</v>
      </c>
      <c r="F122" s="408" t="s">
        <v>31</v>
      </c>
      <c r="G122" s="408" t="s">
        <v>31</v>
      </c>
      <c r="H122" s="409" t="s">
        <v>31</v>
      </c>
      <c r="I122" s="347" t="str">
        <f>+IF(ROUND(H44+I35-I40+(I99-H99)+I104-I44,2)=0,"OK",ROUND(H44+I35-I40+(I99-H99)+I104-I44,2))</f>
        <v>OK</v>
      </c>
      <c r="J122" s="348" t="str">
        <f t="shared" ref="J122:AL122" si="25">+IF(ROUND(I44+J35-J40+(J99-I99)+J104-J44,2)=0,"OK",ROUND(I44+J35-J40+(J99-I99)+J104-J44,2))</f>
        <v>OK</v>
      </c>
      <c r="K122" s="348" t="str">
        <f t="shared" si="25"/>
        <v>OK</v>
      </c>
      <c r="L122" s="348" t="str">
        <f t="shared" si="25"/>
        <v>OK</v>
      </c>
      <c r="M122" s="348" t="str">
        <f t="shared" si="25"/>
        <v>OK</v>
      </c>
      <c r="N122" s="348" t="str">
        <f t="shared" si="25"/>
        <v>OK</v>
      </c>
      <c r="O122" s="348" t="str">
        <f t="shared" si="25"/>
        <v>OK</v>
      </c>
      <c r="P122" s="348" t="str">
        <f t="shared" si="25"/>
        <v>OK</v>
      </c>
      <c r="Q122" s="348" t="str">
        <f t="shared" si="25"/>
        <v>OK</v>
      </c>
      <c r="R122" s="348" t="str">
        <f t="shared" si="25"/>
        <v>OK</v>
      </c>
      <c r="S122" s="348" t="str">
        <f t="shared" si="25"/>
        <v>OK</v>
      </c>
      <c r="T122" s="348" t="str">
        <f t="shared" si="25"/>
        <v>OK</v>
      </c>
      <c r="U122" s="348" t="str">
        <f t="shared" si="25"/>
        <v>OK</v>
      </c>
      <c r="V122" s="348" t="str">
        <f t="shared" si="25"/>
        <v>OK</v>
      </c>
      <c r="W122" s="348" t="str">
        <f t="shared" si="25"/>
        <v>OK</v>
      </c>
      <c r="X122" s="348" t="str">
        <f t="shared" si="25"/>
        <v>OK</v>
      </c>
      <c r="Y122" s="348" t="str">
        <f t="shared" si="25"/>
        <v>OK</v>
      </c>
      <c r="Z122" s="348" t="str">
        <f t="shared" si="25"/>
        <v>OK</v>
      </c>
      <c r="AA122" s="348" t="str">
        <f t="shared" si="25"/>
        <v>OK</v>
      </c>
      <c r="AB122" s="348" t="str">
        <f t="shared" si="25"/>
        <v>OK</v>
      </c>
      <c r="AC122" s="348" t="str">
        <f t="shared" si="25"/>
        <v>OK</v>
      </c>
      <c r="AD122" s="348" t="str">
        <f t="shared" si="25"/>
        <v>OK</v>
      </c>
      <c r="AE122" s="348" t="str">
        <f t="shared" si="25"/>
        <v>OK</v>
      </c>
      <c r="AF122" s="348" t="str">
        <f t="shared" si="25"/>
        <v>OK</v>
      </c>
      <c r="AG122" s="348" t="str">
        <f t="shared" si="25"/>
        <v>OK</v>
      </c>
      <c r="AH122" s="348" t="str">
        <f t="shared" si="25"/>
        <v>OK</v>
      </c>
      <c r="AI122" s="348" t="str">
        <f t="shared" si="25"/>
        <v>OK</v>
      </c>
      <c r="AJ122" s="348" t="str">
        <f t="shared" si="25"/>
        <v>OK</v>
      </c>
      <c r="AK122" s="348" t="str">
        <f t="shared" si="25"/>
        <v>OK</v>
      </c>
      <c r="AL122" s="349" t="str">
        <f t="shared" si="25"/>
        <v>OK</v>
      </c>
    </row>
    <row r="123" spans="1:39" s="85" customFormat="1" ht="48" outlineLevel="2">
      <c r="A123" s="375"/>
      <c r="B123" s="372"/>
      <c r="C123" s="379" t="s">
        <v>466</v>
      </c>
      <c r="D123" s="88" t="s">
        <v>476</v>
      </c>
      <c r="E123" s="407" t="s">
        <v>31</v>
      </c>
      <c r="F123" s="408" t="s">
        <v>31</v>
      </c>
      <c r="G123" s="408" t="s">
        <v>31</v>
      </c>
      <c r="H123" s="409" t="s">
        <v>31</v>
      </c>
      <c r="I123" s="348" t="str">
        <f>+IF(H99=0,"N/D",IF(ROUND(I99+I100-H99,2)=0,"OK",ROUND(I99+I100-H99,2)))</f>
        <v>OK</v>
      </c>
      <c r="J123" s="348" t="str">
        <f t="shared" ref="J123:AL123" si="26">+IF(I99=0,"N/D",IF(ROUND(J99+J100-I99,2)=0,"OK",ROUND(J99+J100-I99,2)))</f>
        <v>OK</v>
      </c>
      <c r="K123" s="348" t="str">
        <f t="shared" si="26"/>
        <v>OK</v>
      </c>
      <c r="L123" s="348" t="str">
        <f t="shared" si="26"/>
        <v>N/D</v>
      </c>
      <c r="M123" s="348" t="str">
        <f t="shared" si="26"/>
        <v>N/D</v>
      </c>
      <c r="N123" s="348" t="str">
        <f t="shared" si="26"/>
        <v>N/D</v>
      </c>
      <c r="O123" s="348" t="str">
        <f t="shared" si="26"/>
        <v>N/D</v>
      </c>
      <c r="P123" s="348" t="str">
        <f t="shared" si="26"/>
        <v>N/D</v>
      </c>
      <c r="Q123" s="348" t="str">
        <f t="shared" si="26"/>
        <v>N/D</v>
      </c>
      <c r="R123" s="348" t="str">
        <f t="shared" si="26"/>
        <v>N/D</v>
      </c>
      <c r="S123" s="348" t="str">
        <f t="shared" si="26"/>
        <v>N/D</v>
      </c>
      <c r="T123" s="348" t="str">
        <f t="shared" si="26"/>
        <v>N/D</v>
      </c>
      <c r="U123" s="348" t="str">
        <f t="shared" si="26"/>
        <v>N/D</v>
      </c>
      <c r="V123" s="348" t="str">
        <f t="shared" si="26"/>
        <v>N/D</v>
      </c>
      <c r="W123" s="348" t="str">
        <f t="shared" si="26"/>
        <v>N/D</v>
      </c>
      <c r="X123" s="348" t="str">
        <f t="shared" si="26"/>
        <v>N/D</v>
      </c>
      <c r="Y123" s="348" t="str">
        <f t="shared" si="26"/>
        <v>N/D</v>
      </c>
      <c r="Z123" s="348" t="str">
        <f t="shared" si="26"/>
        <v>N/D</v>
      </c>
      <c r="AA123" s="348" t="str">
        <f t="shared" si="26"/>
        <v>N/D</v>
      </c>
      <c r="AB123" s="348" t="str">
        <f t="shared" si="26"/>
        <v>N/D</v>
      </c>
      <c r="AC123" s="348" t="str">
        <f t="shared" si="26"/>
        <v>N/D</v>
      </c>
      <c r="AD123" s="348" t="str">
        <f t="shared" si="26"/>
        <v>N/D</v>
      </c>
      <c r="AE123" s="348" t="str">
        <f t="shared" si="26"/>
        <v>N/D</v>
      </c>
      <c r="AF123" s="348" t="str">
        <f t="shared" si="26"/>
        <v>N/D</v>
      </c>
      <c r="AG123" s="348" t="str">
        <f t="shared" si="26"/>
        <v>N/D</v>
      </c>
      <c r="AH123" s="348" t="str">
        <f t="shared" si="26"/>
        <v>N/D</v>
      </c>
      <c r="AI123" s="348" t="str">
        <f t="shared" si="26"/>
        <v>N/D</v>
      </c>
      <c r="AJ123" s="348" t="str">
        <f t="shared" si="26"/>
        <v>N/D</v>
      </c>
      <c r="AK123" s="348" t="str">
        <f t="shared" si="26"/>
        <v>N/D</v>
      </c>
      <c r="AL123" s="349" t="str">
        <f t="shared" si="26"/>
        <v>N/D</v>
      </c>
    </row>
    <row r="124" spans="1:39" s="85" customFormat="1" ht="36" outlineLevel="2">
      <c r="A124" s="375"/>
      <c r="B124" s="372"/>
      <c r="C124" s="379" t="s">
        <v>468</v>
      </c>
      <c r="D124" s="88" t="s">
        <v>467</v>
      </c>
      <c r="E124" s="407" t="s">
        <v>31</v>
      </c>
      <c r="F124" s="408" t="s">
        <v>31</v>
      </c>
      <c r="G124" s="408" t="s">
        <v>31</v>
      </c>
      <c r="H124" s="409" t="s">
        <v>31</v>
      </c>
      <c r="I124" s="347" t="str">
        <f>+IF(H90=0,"N/D",IF(ROUND(I90+(I92+I93+I94+I95)-H90,2)=0,"OK",ROUND(I90+(I92+I93+I94+I95)-H90,2)))</f>
        <v>N/D</v>
      </c>
      <c r="J124" s="348" t="str">
        <f t="shared" ref="J124:AL124" si="27">+IF(I90=0,"N/D",IF(ROUND(J90+(J92+J93+J94+J95)-I90,2)=0,"OK",ROUND(J90+(J92+J93+J94+J95)-I90,2)))</f>
        <v>N/D</v>
      </c>
      <c r="K124" s="348" t="str">
        <f t="shared" si="27"/>
        <v>N/D</v>
      </c>
      <c r="L124" s="348" t="str">
        <f t="shared" si="27"/>
        <v>N/D</v>
      </c>
      <c r="M124" s="348" t="str">
        <f t="shared" si="27"/>
        <v>N/D</v>
      </c>
      <c r="N124" s="348" t="str">
        <f t="shared" si="27"/>
        <v>N/D</v>
      </c>
      <c r="O124" s="348" t="str">
        <f t="shared" si="27"/>
        <v>N/D</v>
      </c>
      <c r="P124" s="348" t="str">
        <f t="shared" si="27"/>
        <v>N/D</v>
      </c>
      <c r="Q124" s="348" t="str">
        <f t="shared" si="27"/>
        <v>N/D</v>
      </c>
      <c r="R124" s="348" t="str">
        <f t="shared" si="27"/>
        <v>N/D</v>
      </c>
      <c r="S124" s="348" t="str">
        <f t="shared" si="27"/>
        <v>N/D</v>
      </c>
      <c r="T124" s="348" t="str">
        <f t="shared" si="27"/>
        <v>N/D</v>
      </c>
      <c r="U124" s="348" t="str">
        <f t="shared" si="27"/>
        <v>N/D</v>
      </c>
      <c r="V124" s="348" t="str">
        <f t="shared" si="27"/>
        <v>N/D</v>
      </c>
      <c r="W124" s="348" t="str">
        <f t="shared" si="27"/>
        <v>N/D</v>
      </c>
      <c r="X124" s="348" t="str">
        <f t="shared" si="27"/>
        <v>N/D</v>
      </c>
      <c r="Y124" s="348" t="str">
        <f t="shared" si="27"/>
        <v>N/D</v>
      </c>
      <c r="Z124" s="348" t="str">
        <f t="shared" si="27"/>
        <v>N/D</v>
      </c>
      <c r="AA124" s="348" t="str">
        <f t="shared" si="27"/>
        <v>N/D</v>
      </c>
      <c r="AB124" s="348" t="str">
        <f t="shared" si="27"/>
        <v>N/D</v>
      </c>
      <c r="AC124" s="348" t="str">
        <f t="shared" si="27"/>
        <v>N/D</v>
      </c>
      <c r="AD124" s="348" t="str">
        <f t="shared" si="27"/>
        <v>N/D</v>
      </c>
      <c r="AE124" s="348" t="str">
        <f t="shared" si="27"/>
        <v>N/D</v>
      </c>
      <c r="AF124" s="348" t="str">
        <f t="shared" si="27"/>
        <v>N/D</v>
      </c>
      <c r="AG124" s="348" t="str">
        <f t="shared" si="27"/>
        <v>N/D</v>
      </c>
      <c r="AH124" s="348" t="str">
        <f t="shared" si="27"/>
        <v>N/D</v>
      </c>
      <c r="AI124" s="348" t="str">
        <f t="shared" si="27"/>
        <v>N/D</v>
      </c>
      <c r="AJ124" s="348" t="str">
        <f t="shared" si="27"/>
        <v>N/D</v>
      </c>
      <c r="AK124" s="348" t="str">
        <f t="shared" si="27"/>
        <v>N/D</v>
      </c>
      <c r="AL124" s="349" t="str">
        <f t="shared" si="27"/>
        <v>N/D</v>
      </c>
    </row>
    <row r="125" spans="1:39" s="85" customFormat="1" outlineLevel="1">
      <c r="A125" s="375"/>
      <c r="B125" s="366"/>
      <c r="C125" s="367" t="s">
        <v>285</v>
      </c>
      <c r="D125" s="89" t="s">
        <v>335</v>
      </c>
      <c r="E125" s="407" t="s">
        <v>31</v>
      </c>
      <c r="F125" s="408" t="s">
        <v>31</v>
      </c>
      <c r="G125" s="408" t="s">
        <v>31</v>
      </c>
      <c r="H125" s="409" t="s">
        <v>31</v>
      </c>
      <c r="I125" s="344" t="str">
        <f>IF(I29&lt;0,IF(ROUND(I32+I34+I36+I38+I29,2)=0,"OK",ROUND(I32+I34+I36+I38+I29,2)),"N/D")</f>
        <v>OK</v>
      </c>
      <c r="J125" s="345" t="str">
        <f t="shared" ref="J125:AL125" si="28">IF(J29&lt;0,IF(ROUND(J32+J34+J36+J38+J29,2)=0,"OK",ROUND(J32+J34+J36+J38+J29,2)),"N/D")</f>
        <v>N/D</v>
      </c>
      <c r="K125" s="345" t="str">
        <f t="shared" si="28"/>
        <v>N/D</v>
      </c>
      <c r="L125" s="345" t="str">
        <f t="shared" si="28"/>
        <v>N/D</v>
      </c>
      <c r="M125" s="345" t="str">
        <f t="shared" si="28"/>
        <v>N/D</v>
      </c>
      <c r="N125" s="345" t="str">
        <f t="shared" si="28"/>
        <v>N/D</v>
      </c>
      <c r="O125" s="345" t="str">
        <f t="shared" si="28"/>
        <v>N/D</v>
      </c>
      <c r="P125" s="345" t="str">
        <f t="shared" si="28"/>
        <v>N/D</v>
      </c>
      <c r="Q125" s="345" t="str">
        <f t="shared" si="28"/>
        <v>N/D</v>
      </c>
      <c r="R125" s="345" t="str">
        <f t="shared" si="28"/>
        <v>N/D</v>
      </c>
      <c r="S125" s="345" t="str">
        <f t="shared" si="28"/>
        <v>N/D</v>
      </c>
      <c r="T125" s="345" t="str">
        <f t="shared" si="28"/>
        <v>N/D</v>
      </c>
      <c r="U125" s="345" t="str">
        <f t="shared" si="28"/>
        <v>N/D</v>
      </c>
      <c r="V125" s="345" t="str">
        <f t="shared" si="28"/>
        <v>N/D</v>
      </c>
      <c r="W125" s="345" t="str">
        <f t="shared" si="28"/>
        <v>N/D</v>
      </c>
      <c r="X125" s="345" t="str">
        <f t="shared" si="28"/>
        <v>N/D</v>
      </c>
      <c r="Y125" s="345" t="str">
        <f t="shared" si="28"/>
        <v>N/D</v>
      </c>
      <c r="Z125" s="345" t="str">
        <f t="shared" si="28"/>
        <v>N/D</v>
      </c>
      <c r="AA125" s="345" t="str">
        <f t="shared" si="28"/>
        <v>N/D</v>
      </c>
      <c r="AB125" s="345" t="str">
        <f t="shared" si="28"/>
        <v>N/D</v>
      </c>
      <c r="AC125" s="345" t="str">
        <f t="shared" si="28"/>
        <v>N/D</v>
      </c>
      <c r="AD125" s="345" t="str">
        <f t="shared" si="28"/>
        <v>N/D</v>
      </c>
      <c r="AE125" s="345" t="str">
        <f t="shared" si="28"/>
        <v>N/D</v>
      </c>
      <c r="AF125" s="345" t="str">
        <f t="shared" si="28"/>
        <v>N/D</v>
      </c>
      <c r="AG125" s="345" t="str">
        <f t="shared" si="28"/>
        <v>N/D</v>
      </c>
      <c r="AH125" s="345" t="str">
        <f t="shared" si="28"/>
        <v>N/D</v>
      </c>
      <c r="AI125" s="345" t="str">
        <f t="shared" si="28"/>
        <v>N/D</v>
      </c>
      <c r="AJ125" s="345" t="str">
        <f t="shared" si="28"/>
        <v>N/D</v>
      </c>
      <c r="AK125" s="345" t="str">
        <f t="shared" si="28"/>
        <v>N/D</v>
      </c>
      <c r="AL125" s="346" t="str">
        <f t="shared" si="28"/>
        <v>N/D</v>
      </c>
    </row>
    <row r="126" spans="1:39" s="85" customFormat="1" outlineLevel="2">
      <c r="A126" s="375"/>
      <c r="B126" s="366"/>
      <c r="C126" s="367" t="s">
        <v>286</v>
      </c>
      <c r="D126" s="89" t="s">
        <v>336</v>
      </c>
      <c r="E126" s="407" t="s">
        <v>31</v>
      </c>
      <c r="F126" s="408" t="s">
        <v>31</v>
      </c>
      <c r="G126" s="408" t="s">
        <v>31</v>
      </c>
      <c r="H126" s="409" t="s">
        <v>31</v>
      </c>
      <c r="I126" s="344" t="str">
        <f>IF(I29&gt;=0,IF(ROUND(I32+I34+I36+I38,2)=0,"OK",ROUND(I32+I34+I36+I38,2)),"N/D")</f>
        <v>N/D</v>
      </c>
      <c r="J126" s="345" t="str">
        <f t="shared" ref="J126:AL126" si="29">IF(J29&gt;=0,IF(ROUND(J32+J34+J36+J38,2)=0,"OK",ROUND(J32+J34+J36+J38,2)),"N/D")</f>
        <v>OK</v>
      </c>
      <c r="K126" s="345" t="str">
        <f t="shared" si="29"/>
        <v>OK</v>
      </c>
      <c r="L126" s="345" t="str">
        <f t="shared" si="29"/>
        <v>OK</v>
      </c>
      <c r="M126" s="345" t="str">
        <f t="shared" si="29"/>
        <v>OK</v>
      </c>
      <c r="N126" s="345" t="str">
        <f t="shared" si="29"/>
        <v>OK</v>
      </c>
      <c r="O126" s="345" t="str">
        <f t="shared" si="29"/>
        <v>OK</v>
      </c>
      <c r="P126" s="345" t="str">
        <f t="shared" si="29"/>
        <v>OK</v>
      </c>
      <c r="Q126" s="345" t="str">
        <f t="shared" si="29"/>
        <v>OK</v>
      </c>
      <c r="R126" s="345" t="str">
        <f t="shared" si="29"/>
        <v>OK</v>
      </c>
      <c r="S126" s="345" t="str">
        <f t="shared" si="29"/>
        <v>OK</v>
      </c>
      <c r="T126" s="345" t="str">
        <f t="shared" si="29"/>
        <v>OK</v>
      </c>
      <c r="U126" s="345" t="str">
        <f t="shared" si="29"/>
        <v>OK</v>
      </c>
      <c r="V126" s="345" t="str">
        <f t="shared" si="29"/>
        <v>OK</v>
      </c>
      <c r="W126" s="345" t="str">
        <f t="shared" si="29"/>
        <v>OK</v>
      </c>
      <c r="X126" s="345" t="str">
        <f t="shared" si="29"/>
        <v>OK</v>
      </c>
      <c r="Y126" s="345" t="str">
        <f t="shared" si="29"/>
        <v>OK</v>
      </c>
      <c r="Z126" s="345" t="str">
        <f t="shared" si="29"/>
        <v>OK</v>
      </c>
      <c r="AA126" s="345" t="str">
        <f t="shared" si="29"/>
        <v>OK</v>
      </c>
      <c r="AB126" s="345" t="str">
        <f t="shared" si="29"/>
        <v>OK</v>
      </c>
      <c r="AC126" s="345" t="str">
        <f t="shared" si="29"/>
        <v>OK</v>
      </c>
      <c r="AD126" s="345" t="str">
        <f t="shared" si="29"/>
        <v>OK</v>
      </c>
      <c r="AE126" s="345" t="str">
        <f t="shared" si="29"/>
        <v>OK</v>
      </c>
      <c r="AF126" s="345" t="str">
        <f t="shared" si="29"/>
        <v>OK</v>
      </c>
      <c r="AG126" s="345" t="str">
        <f t="shared" si="29"/>
        <v>OK</v>
      </c>
      <c r="AH126" s="345" t="str">
        <f t="shared" si="29"/>
        <v>OK</v>
      </c>
      <c r="AI126" s="345" t="str">
        <f t="shared" si="29"/>
        <v>OK</v>
      </c>
      <c r="AJ126" s="345" t="str">
        <f t="shared" si="29"/>
        <v>OK</v>
      </c>
      <c r="AK126" s="345" t="str">
        <f t="shared" si="29"/>
        <v>OK</v>
      </c>
      <c r="AL126" s="346" t="str">
        <f t="shared" si="29"/>
        <v>OK</v>
      </c>
    </row>
    <row r="127" spans="1:39" s="85" customFormat="1" outlineLevel="2">
      <c r="A127" s="375"/>
      <c r="B127" s="366"/>
      <c r="C127" s="367" t="s">
        <v>287</v>
      </c>
      <c r="D127" s="89" t="s">
        <v>338</v>
      </c>
      <c r="E127" s="407" t="s">
        <v>31</v>
      </c>
      <c r="F127" s="408" t="s">
        <v>31</v>
      </c>
      <c r="G127" s="408" t="s">
        <v>31</v>
      </c>
      <c r="H127" s="409" t="s">
        <v>31</v>
      </c>
      <c r="I127" s="342" t="str">
        <f t="shared" ref="I127:AL127" si="30">IF(I14&gt;=I15,"OK","BŁĄD")</f>
        <v>OK</v>
      </c>
      <c r="J127" s="335" t="str">
        <f t="shared" si="30"/>
        <v>OK</v>
      </c>
      <c r="K127" s="335" t="str">
        <f t="shared" si="30"/>
        <v>OK</v>
      </c>
      <c r="L127" s="335" t="str">
        <f t="shared" si="30"/>
        <v>OK</v>
      </c>
      <c r="M127" s="335" t="str">
        <f t="shared" si="30"/>
        <v>OK</v>
      </c>
      <c r="N127" s="335" t="str">
        <f t="shared" si="30"/>
        <v>OK</v>
      </c>
      <c r="O127" s="335" t="str">
        <f t="shared" si="30"/>
        <v>OK</v>
      </c>
      <c r="P127" s="335" t="str">
        <f t="shared" si="30"/>
        <v>OK</v>
      </c>
      <c r="Q127" s="335" t="str">
        <f t="shared" si="30"/>
        <v>OK</v>
      </c>
      <c r="R127" s="335" t="str">
        <f t="shared" si="30"/>
        <v>OK</v>
      </c>
      <c r="S127" s="335" t="str">
        <f t="shared" si="30"/>
        <v>OK</v>
      </c>
      <c r="T127" s="335" t="str">
        <f t="shared" si="30"/>
        <v>OK</v>
      </c>
      <c r="U127" s="335" t="str">
        <f t="shared" si="30"/>
        <v>OK</v>
      </c>
      <c r="V127" s="335" t="str">
        <f t="shared" si="30"/>
        <v>OK</v>
      </c>
      <c r="W127" s="335" t="str">
        <f t="shared" si="30"/>
        <v>OK</v>
      </c>
      <c r="X127" s="335" t="str">
        <f t="shared" si="30"/>
        <v>OK</v>
      </c>
      <c r="Y127" s="335" t="str">
        <f t="shared" si="30"/>
        <v>OK</v>
      </c>
      <c r="Z127" s="335" t="str">
        <f t="shared" si="30"/>
        <v>OK</v>
      </c>
      <c r="AA127" s="335" t="str">
        <f t="shared" si="30"/>
        <v>OK</v>
      </c>
      <c r="AB127" s="335" t="str">
        <f t="shared" si="30"/>
        <v>OK</v>
      </c>
      <c r="AC127" s="335" t="str">
        <f t="shared" si="30"/>
        <v>OK</v>
      </c>
      <c r="AD127" s="335" t="str">
        <f t="shared" si="30"/>
        <v>OK</v>
      </c>
      <c r="AE127" s="335" t="str">
        <f t="shared" si="30"/>
        <v>OK</v>
      </c>
      <c r="AF127" s="335" t="str">
        <f t="shared" si="30"/>
        <v>OK</v>
      </c>
      <c r="AG127" s="335" t="str">
        <f t="shared" si="30"/>
        <v>OK</v>
      </c>
      <c r="AH127" s="335" t="str">
        <f t="shared" si="30"/>
        <v>OK</v>
      </c>
      <c r="AI127" s="335" t="str">
        <f t="shared" si="30"/>
        <v>OK</v>
      </c>
      <c r="AJ127" s="335" t="str">
        <f t="shared" si="30"/>
        <v>OK</v>
      </c>
      <c r="AK127" s="335" t="str">
        <f t="shared" si="30"/>
        <v>OK</v>
      </c>
      <c r="AL127" s="336" t="str">
        <f t="shared" si="30"/>
        <v>OK</v>
      </c>
    </row>
    <row r="128" spans="1:39" s="85" customFormat="1" outlineLevel="2">
      <c r="A128" s="375"/>
      <c r="B128" s="366"/>
      <c r="C128" s="367" t="s">
        <v>288</v>
      </c>
      <c r="D128" s="89" t="s">
        <v>339</v>
      </c>
      <c r="E128" s="407" t="s">
        <v>31</v>
      </c>
      <c r="F128" s="408" t="s">
        <v>31</v>
      </c>
      <c r="G128" s="408" t="s">
        <v>31</v>
      </c>
      <c r="H128" s="409" t="s">
        <v>31</v>
      </c>
      <c r="I128" s="342" t="str">
        <f t="shared" ref="I128:AL128" si="31">IF(I17&gt;=I91,"OK","BŁĄD")</f>
        <v>OK</v>
      </c>
      <c r="J128" s="335" t="str">
        <f t="shared" si="31"/>
        <v>OK</v>
      </c>
      <c r="K128" s="335" t="str">
        <f t="shared" si="31"/>
        <v>OK</v>
      </c>
      <c r="L128" s="335" t="str">
        <f t="shared" si="31"/>
        <v>OK</v>
      </c>
      <c r="M128" s="335" t="str">
        <f t="shared" si="31"/>
        <v>OK</v>
      </c>
      <c r="N128" s="335" t="str">
        <f t="shared" si="31"/>
        <v>OK</v>
      </c>
      <c r="O128" s="335" t="str">
        <f t="shared" si="31"/>
        <v>OK</v>
      </c>
      <c r="P128" s="335" t="str">
        <f t="shared" si="31"/>
        <v>OK</v>
      </c>
      <c r="Q128" s="335" t="str">
        <f t="shared" si="31"/>
        <v>OK</v>
      </c>
      <c r="R128" s="335" t="str">
        <f t="shared" si="31"/>
        <v>OK</v>
      </c>
      <c r="S128" s="335" t="str">
        <f t="shared" si="31"/>
        <v>OK</v>
      </c>
      <c r="T128" s="335" t="str">
        <f t="shared" si="31"/>
        <v>OK</v>
      </c>
      <c r="U128" s="335" t="str">
        <f t="shared" si="31"/>
        <v>OK</v>
      </c>
      <c r="V128" s="335" t="str">
        <f t="shared" si="31"/>
        <v>OK</v>
      </c>
      <c r="W128" s="335" t="str">
        <f t="shared" si="31"/>
        <v>OK</v>
      </c>
      <c r="X128" s="335" t="str">
        <f t="shared" si="31"/>
        <v>OK</v>
      </c>
      <c r="Y128" s="335" t="str">
        <f t="shared" si="31"/>
        <v>OK</v>
      </c>
      <c r="Z128" s="335" t="str">
        <f t="shared" si="31"/>
        <v>OK</v>
      </c>
      <c r="AA128" s="335" t="str">
        <f t="shared" si="31"/>
        <v>OK</v>
      </c>
      <c r="AB128" s="335" t="str">
        <f t="shared" si="31"/>
        <v>OK</v>
      </c>
      <c r="AC128" s="335" t="str">
        <f t="shared" si="31"/>
        <v>OK</v>
      </c>
      <c r="AD128" s="335" t="str">
        <f t="shared" si="31"/>
        <v>OK</v>
      </c>
      <c r="AE128" s="335" t="str">
        <f t="shared" si="31"/>
        <v>OK</v>
      </c>
      <c r="AF128" s="335" t="str">
        <f t="shared" si="31"/>
        <v>OK</v>
      </c>
      <c r="AG128" s="335" t="str">
        <f t="shared" si="31"/>
        <v>OK</v>
      </c>
      <c r="AH128" s="335" t="str">
        <f t="shared" si="31"/>
        <v>OK</v>
      </c>
      <c r="AI128" s="335" t="str">
        <f t="shared" si="31"/>
        <v>OK</v>
      </c>
      <c r="AJ128" s="335" t="str">
        <f t="shared" si="31"/>
        <v>OK</v>
      </c>
      <c r="AK128" s="335" t="str">
        <f t="shared" si="31"/>
        <v>OK</v>
      </c>
      <c r="AL128" s="336" t="str">
        <f t="shared" si="31"/>
        <v>OK</v>
      </c>
    </row>
    <row r="129" spans="1:38" s="85" customFormat="1" outlineLevel="2">
      <c r="A129" s="375"/>
      <c r="B129" s="366"/>
      <c r="C129" s="367" t="s">
        <v>289</v>
      </c>
      <c r="D129" s="89" t="s">
        <v>340</v>
      </c>
      <c r="E129" s="407" t="s">
        <v>31</v>
      </c>
      <c r="F129" s="408" t="s">
        <v>31</v>
      </c>
      <c r="G129" s="408" t="s">
        <v>31</v>
      </c>
      <c r="H129" s="409" t="s">
        <v>31</v>
      </c>
      <c r="I129" s="342" t="str">
        <f t="shared" ref="I129:AL129" si="32">IF(I11&gt;=I12+I13+I14+I16+I17,"OK","BŁĄD")</f>
        <v>OK</v>
      </c>
      <c r="J129" s="335" t="str">
        <f t="shared" si="32"/>
        <v>OK</v>
      </c>
      <c r="K129" s="335" t="str">
        <f t="shared" si="32"/>
        <v>OK</v>
      </c>
      <c r="L129" s="335" t="str">
        <f t="shared" si="32"/>
        <v>OK</v>
      </c>
      <c r="M129" s="335" t="str">
        <f t="shared" si="32"/>
        <v>OK</v>
      </c>
      <c r="N129" s="335" t="str">
        <f t="shared" si="32"/>
        <v>OK</v>
      </c>
      <c r="O129" s="335" t="str">
        <f t="shared" si="32"/>
        <v>OK</v>
      </c>
      <c r="P129" s="335" t="str">
        <f t="shared" si="32"/>
        <v>OK</v>
      </c>
      <c r="Q129" s="335" t="str">
        <f t="shared" si="32"/>
        <v>OK</v>
      </c>
      <c r="R129" s="335" t="str">
        <f t="shared" si="32"/>
        <v>OK</v>
      </c>
      <c r="S129" s="335" t="str">
        <f t="shared" si="32"/>
        <v>OK</v>
      </c>
      <c r="T129" s="335" t="str">
        <f t="shared" si="32"/>
        <v>OK</v>
      </c>
      <c r="U129" s="335" t="str">
        <f t="shared" si="32"/>
        <v>OK</v>
      </c>
      <c r="V129" s="335" t="str">
        <f t="shared" si="32"/>
        <v>OK</v>
      </c>
      <c r="W129" s="335" t="str">
        <f t="shared" si="32"/>
        <v>OK</v>
      </c>
      <c r="X129" s="335" t="str">
        <f t="shared" si="32"/>
        <v>OK</v>
      </c>
      <c r="Y129" s="335" t="str">
        <f t="shared" si="32"/>
        <v>OK</v>
      </c>
      <c r="Z129" s="335" t="str">
        <f t="shared" si="32"/>
        <v>OK</v>
      </c>
      <c r="AA129" s="335" t="str">
        <f t="shared" si="32"/>
        <v>OK</v>
      </c>
      <c r="AB129" s="335" t="str">
        <f t="shared" si="32"/>
        <v>OK</v>
      </c>
      <c r="AC129" s="335" t="str">
        <f t="shared" si="32"/>
        <v>OK</v>
      </c>
      <c r="AD129" s="335" t="str">
        <f t="shared" si="32"/>
        <v>OK</v>
      </c>
      <c r="AE129" s="335" t="str">
        <f t="shared" si="32"/>
        <v>OK</v>
      </c>
      <c r="AF129" s="335" t="str">
        <f t="shared" si="32"/>
        <v>OK</v>
      </c>
      <c r="AG129" s="335" t="str">
        <f t="shared" si="32"/>
        <v>OK</v>
      </c>
      <c r="AH129" s="335" t="str">
        <f t="shared" si="32"/>
        <v>OK</v>
      </c>
      <c r="AI129" s="335" t="str">
        <f t="shared" si="32"/>
        <v>OK</v>
      </c>
      <c r="AJ129" s="335" t="str">
        <f t="shared" si="32"/>
        <v>OK</v>
      </c>
      <c r="AK129" s="335" t="str">
        <f t="shared" si="32"/>
        <v>OK</v>
      </c>
      <c r="AL129" s="336" t="str">
        <f t="shared" si="32"/>
        <v>OK</v>
      </c>
    </row>
    <row r="130" spans="1:38" s="85" customFormat="1" outlineLevel="2">
      <c r="A130" s="375"/>
      <c r="B130" s="366"/>
      <c r="C130" s="367" t="s">
        <v>290</v>
      </c>
      <c r="D130" s="89" t="s">
        <v>341</v>
      </c>
      <c r="E130" s="407" t="s">
        <v>31</v>
      </c>
      <c r="F130" s="408" t="s">
        <v>31</v>
      </c>
      <c r="G130" s="408" t="s">
        <v>31</v>
      </c>
      <c r="H130" s="409" t="s">
        <v>31</v>
      </c>
      <c r="I130" s="342" t="str">
        <f t="shared" ref="I130:AL130" si="33">IF(I11&gt;=I77,"OK","BŁĄD")</f>
        <v>OK</v>
      </c>
      <c r="J130" s="335" t="str">
        <f t="shared" si="33"/>
        <v>OK</v>
      </c>
      <c r="K130" s="335" t="str">
        <f t="shared" si="33"/>
        <v>OK</v>
      </c>
      <c r="L130" s="335" t="str">
        <f t="shared" si="33"/>
        <v>OK</v>
      </c>
      <c r="M130" s="335" t="str">
        <f t="shared" si="33"/>
        <v>OK</v>
      </c>
      <c r="N130" s="335" t="str">
        <f t="shared" si="33"/>
        <v>OK</v>
      </c>
      <c r="O130" s="335" t="str">
        <f t="shared" si="33"/>
        <v>OK</v>
      </c>
      <c r="P130" s="335" t="str">
        <f t="shared" si="33"/>
        <v>OK</v>
      </c>
      <c r="Q130" s="335" t="str">
        <f t="shared" si="33"/>
        <v>OK</v>
      </c>
      <c r="R130" s="335" t="str">
        <f t="shared" si="33"/>
        <v>OK</v>
      </c>
      <c r="S130" s="335" t="str">
        <f t="shared" si="33"/>
        <v>OK</v>
      </c>
      <c r="T130" s="335" t="str">
        <f t="shared" si="33"/>
        <v>OK</v>
      </c>
      <c r="U130" s="335" t="str">
        <f t="shared" si="33"/>
        <v>OK</v>
      </c>
      <c r="V130" s="335" t="str">
        <f t="shared" si="33"/>
        <v>OK</v>
      </c>
      <c r="W130" s="335" t="str">
        <f t="shared" si="33"/>
        <v>OK</v>
      </c>
      <c r="X130" s="335" t="str">
        <f t="shared" si="33"/>
        <v>OK</v>
      </c>
      <c r="Y130" s="335" t="str">
        <f t="shared" si="33"/>
        <v>OK</v>
      </c>
      <c r="Z130" s="335" t="str">
        <f t="shared" si="33"/>
        <v>OK</v>
      </c>
      <c r="AA130" s="335" t="str">
        <f t="shared" si="33"/>
        <v>OK</v>
      </c>
      <c r="AB130" s="335" t="str">
        <f t="shared" si="33"/>
        <v>OK</v>
      </c>
      <c r="AC130" s="335" t="str">
        <f t="shared" si="33"/>
        <v>OK</v>
      </c>
      <c r="AD130" s="335" t="str">
        <f t="shared" si="33"/>
        <v>OK</v>
      </c>
      <c r="AE130" s="335" t="str">
        <f t="shared" si="33"/>
        <v>OK</v>
      </c>
      <c r="AF130" s="335" t="str">
        <f t="shared" si="33"/>
        <v>OK</v>
      </c>
      <c r="AG130" s="335" t="str">
        <f t="shared" si="33"/>
        <v>OK</v>
      </c>
      <c r="AH130" s="335" t="str">
        <f t="shared" si="33"/>
        <v>OK</v>
      </c>
      <c r="AI130" s="335" t="str">
        <f t="shared" si="33"/>
        <v>OK</v>
      </c>
      <c r="AJ130" s="335" t="str">
        <f t="shared" si="33"/>
        <v>OK</v>
      </c>
      <c r="AK130" s="335" t="str">
        <f t="shared" si="33"/>
        <v>OK</v>
      </c>
      <c r="AL130" s="336" t="str">
        <f t="shared" si="33"/>
        <v>OK</v>
      </c>
    </row>
    <row r="131" spans="1:38" s="85" customFormat="1" outlineLevel="2">
      <c r="A131" s="375"/>
      <c r="B131" s="366"/>
      <c r="C131" s="367" t="s">
        <v>291</v>
      </c>
      <c r="D131" s="89" t="s">
        <v>342</v>
      </c>
      <c r="E131" s="407" t="s">
        <v>31</v>
      </c>
      <c r="F131" s="408" t="s">
        <v>31</v>
      </c>
      <c r="G131" s="408" t="s">
        <v>31</v>
      </c>
      <c r="H131" s="409" t="s">
        <v>31</v>
      </c>
      <c r="I131" s="342" t="str">
        <f t="shared" ref="I131:AL131" si="34">IF(I18&gt;=I19,"OK","BŁĄD")</f>
        <v>OK</v>
      </c>
      <c r="J131" s="335" t="str">
        <f t="shared" si="34"/>
        <v>OK</v>
      </c>
      <c r="K131" s="335" t="str">
        <f t="shared" si="34"/>
        <v>OK</v>
      </c>
      <c r="L131" s="335" t="str">
        <f t="shared" si="34"/>
        <v>OK</v>
      </c>
      <c r="M131" s="335" t="str">
        <f t="shared" si="34"/>
        <v>OK</v>
      </c>
      <c r="N131" s="335" t="str">
        <f t="shared" si="34"/>
        <v>OK</v>
      </c>
      <c r="O131" s="335" t="str">
        <f t="shared" si="34"/>
        <v>OK</v>
      </c>
      <c r="P131" s="335" t="str">
        <f t="shared" si="34"/>
        <v>OK</v>
      </c>
      <c r="Q131" s="335" t="str">
        <f t="shared" si="34"/>
        <v>OK</v>
      </c>
      <c r="R131" s="335" t="str">
        <f t="shared" si="34"/>
        <v>OK</v>
      </c>
      <c r="S131" s="335" t="str">
        <f t="shared" si="34"/>
        <v>OK</v>
      </c>
      <c r="T131" s="335" t="str">
        <f t="shared" si="34"/>
        <v>OK</v>
      </c>
      <c r="U131" s="335" t="str">
        <f t="shared" si="34"/>
        <v>OK</v>
      </c>
      <c r="V131" s="335" t="str">
        <f t="shared" si="34"/>
        <v>OK</v>
      </c>
      <c r="W131" s="335" t="str">
        <f t="shared" si="34"/>
        <v>OK</v>
      </c>
      <c r="X131" s="335" t="str">
        <f t="shared" si="34"/>
        <v>OK</v>
      </c>
      <c r="Y131" s="335" t="str">
        <f t="shared" si="34"/>
        <v>OK</v>
      </c>
      <c r="Z131" s="335" t="str">
        <f t="shared" si="34"/>
        <v>OK</v>
      </c>
      <c r="AA131" s="335" t="str">
        <f t="shared" si="34"/>
        <v>OK</v>
      </c>
      <c r="AB131" s="335" t="str">
        <f t="shared" si="34"/>
        <v>OK</v>
      </c>
      <c r="AC131" s="335" t="str">
        <f t="shared" si="34"/>
        <v>OK</v>
      </c>
      <c r="AD131" s="335" t="str">
        <f t="shared" si="34"/>
        <v>OK</v>
      </c>
      <c r="AE131" s="335" t="str">
        <f t="shared" si="34"/>
        <v>OK</v>
      </c>
      <c r="AF131" s="335" t="str">
        <f t="shared" si="34"/>
        <v>OK</v>
      </c>
      <c r="AG131" s="335" t="str">
        <f t="shared" si="34"/>
        <v>OK</v>
      </c>
      <c r="AH131" s="335" t="str">
        <f t="shared" si="34"/>
        <v>OK</v>
      </c>
      <c r="AI131" s="335" t="str">
        <f t="shared" si="34"/>
        <v>OK</v>
      </c>
      <c r="AJ131" s="335" t="str">
        <f t="shared" si="34"/>
        <v>OK</v>
      </c>
      <c r="AK131" s="335" t="str">
        <f t="shared" si="34"/>
        <v>OK</v>
      </c>
      <c r="AL131" s="336" t="str">
        <f t="shared" si="34"/>
        <v>OK</v>
      </c>
    </row>
    <row r="132" spans="1:38" s="85" customFormat="1" outlineLevel="2">
      <c r="A132" s="375"/>
      <c r="B132" s="366"/>
      <c r="C132" s="367" t="s">
        <v>292</v>
      </c>
      <c r="D132" s="89" t="s">
        <v>343</v>
      </c>
      <c r="E132" s="407" t="s">
        <v>31</v>
      </c>
      <c r="F132" s="408" t="s">
        <v>31</v>
      </c>
      <c r="G132" s="408" t="s">
        <v>31</v>
      </c>
      <c r="H132" s="409" t="s">
        <v>31</v>
      </c>
      <c r="I132" s="342" t="str">
        <f t="shared" ref="I132:AL132" si="35">IF(I18&gt;=I20,"OK","BŁĄD")</f>
        <v>OK</v>
      </c>
      <c r="J132" s="335" t="str">
        <f t="shared" si="35"/>
        <v>OK</v>
      </c>
      <c r="K132" s="335" t="str">
        <f t="shared" si="35"/>
        <v>OK</v>
      </c>
      <c r="L132" s="335" t="str">
        <f t="shared" si="35"/>
        <v>OK</v>
      </c>
      <c r="M132" s="335" t="str">
        <f t="shared" si="35"/>
        <v>OK</v>
      </c>
      <c r="N132" s="335" t="str">
        <f t="shared" si="35"/>
        <v>OK</v>
      </c>
      <c r="O132" s="335" t="str">
        <f t="shared" si="35"/>
        <v>OK</v>
      </c>
      <c r="P132" s="335" t="str">
        <f t="shared" si="35"/>
        <v>OK</v>
      </c>
      <c r="Q132" s="335" t="str">
        <f t="shared" si="35"/>
        <v>OK</v>
      </c>
      <c r="R132" s="335" t="str">
        <f t="shared" si="35"/>
        <v>OK</v>
      </c>
      <c r="S132" s="335" t="str">
        <f t="shared" si="35"/>
        <v>OK</v>
      </c>
      <c r="T132" s="335" t="str">
        <f t="shared" si="35"/>
        <v>OK</v>
      </c>
      <c r="U132" s="335" t="str">
        <f t="shared" si="35"/>
        <v>OK</v>
      </c>
      <c r="V132" s="335" t="str">
        <f t="shared" si="35"/>
        <v>OK</v>
      </c>
      <c r="W132" s="335" t="str">
        <f t="shared" si="35"/>
        <v>OK</v>
      </c>
      <c r="X132" s="335" t="str">
        <f t="shared" si="35"/>
        <v>OK</v>
      </c>
      <c r="Y132" s="335" t="str">
        <f t="shared" si="35"/>
        <v>OK</v>
      </c>
      <c r="Z132" s="335" t="str">
        <f t="shared" si="35"/>
        <v>OK</v>
      </c>
      <c r="AA132" s="335" t="str">
        <f t="shared" si="35"/>
        <v>OK</v>
      </c>
      <c r="AB132" s="335" t="str">
        <f t="shared" si="35"/>
        <v>OK</v>
      </c>
      <c r="AC132" s="335" t="str">
        <f t="shared" si="35"/>
        <v>OK</v>
      </c>
      <c r="AD132" s="335" t="str">
        <f t="shared" si="35"/>
        <v>OK</v>
      </c>
      <c r="AE132" s="335" t="str">
        <f t="shared" si="35"/>
        <v>OK</v>
      </c>
      <c r="AF132" s="335" t="str">
        <f t="shared" si="35"/>
        <v>OK</v>
      </c>
      <c r="AG132" s="335" t="str">
        <f t="shared" si="35"/>
        <v>OK</v>
      </c>
      <c r="AH132" s="335" t="str">
        <f t="shared" si="35"/>
        <v>OK</v>
      </c>
      <c r="AI132" s="335" t="str">
        <f t="shared" si="35"/>
        <v>OK</v>
      </c>
      <c r="AJ132" s="335" t="str">
        <f t="shared" si="35"/>
        <v>OK</v>
      </c>
      <c r="AK132" s="335" t="str">
        <f t="shared" si="35"/>
        <v>OK</v>
      </c>
      <c r="AL132" s="336" t="str">
        <f t="shared" si="35"/>
        <v>OK</v>
      </c>
    </row>
    <row r="133" spans="1:38" s="85" customFormat="1" outlineLevel="2">
      <c r="A133" s="375"/>
      <c r="B133" s="366"/>
      <c r="C133" s="367" t="s">
        <v>293</v>
      </c>
      <c r="D133" s="89" t="s">
        <v>344</v>
      </c>
      <c r="E133" s="407" t="s">
        <v>31</v>
      </c>
      <c r="F133" s="408" t="s">
        <v>31</v>
      </c>
      <c r="G133" s="408" t="s">
        <v>31</v>
      </c>
      <c r="H133" s="409" t="s">
        <v>31</v>
      </c>
      <c r="I133" s="342" t="str">
        <f t="shared" ref="I133:AL133" si="36">IF(I18&gt;=I80,"OK","BŁĄD")</f>
        <v>OK</v>
      </c>
      <c r="J133" s="335" t="str">
        <f t="shared" si="36"/>
        <v>OK</v>
      </c>
      <c r="K133" s="335" t="str">
        <f t="shared" si="36"/>
        <v>OK</v>
      </c>
      <c r="L133" s="335" t="str">
        <f t="shared" si="36"/>
        <v>OK</v>
      </c>
      <c r="M133" s="335" t="str">
        <f t="shared" si="36"/>
        <v>OK</v>
      </c>
      <c r="N133" s="335" t="str">
        <f t="shared" si="36"/>
        <v>OK</v>
      </c>
      <c r="O133" s="335" t="str">
        <f t="shared" si="36"/>
        <v>OK</v>
      </c>
      <c r="P133" s="335" t="str">
        <f t="shared" si="36"/>
        <v>OK</v>
      </c>
      <c r="Q133" s="335" t="str">
        <f t="shared" si="36"/>
        <v>OK</v>
      </c>
      <c r="R133" s="335" t="str">
        <f t="shared" si="36"/>
        <v>OK</v>
      </c>
      <c r="S133" s="335" t="str">
        <f t="shared" si="36"/>
        <v>OK</v>
      </c>
      <c r="T133" s="335" t="str">
        <f t="shared" si="36"/>
        <v>OK</v>
      </c>
      <c r="U133" s="335" t="str">
        <f t="shared" si="36"/>
        <v>OK</v>
      </c>
      <c r="V133" s="335" t="str">
        <f t="shared" si="36"/>
        <v>OK</v>
      </c>
      <c r="W133" s="335" t="str">
        <f t="shared" si="36"/>
        <v>OK</v>
      </c>
      <c r="X133" s="335" t="str">
        <f t="shared" si="36"/>
        <v>OK</v>
      </c>
      <c r="Y133" s="335" t="str">
        <f t="shared" si="36"/>
        <v>OK</v>
      </c>
      <c r="Z133" s="335" t="str">
        <f t="shared" si="36"/>
        <v>OK</v>
      </c>
      <c r="AA133" s="335" t="str">
        <f t="shared" si="36"/>
        <v>OK</v>
      </c>
      <c r="AB133" s="335" t="str">
        <f t="shared" si="36"/>
        <v>OK</v>
      </c>
      <c r="AC133" s="335" t="str">
        <f t="shared" si="36"/>
        <v>OK</v>
      </c>
      <c r="AD133" s="335" t="str">
        <f t="shared" si="36"/>
        <v>OK</v>
      </c>
      <c r="AE133" s="335" t="str">
        <f t="shared" si="36"/>
        <v>OK</v>
      </c>
      <c r="AF133" s="335" t="str">
        <f t="shared" si="36"/>
        <v>OK</v>
      </c>
      <c r="AG133" s="335" t="str">
        <f t="shared" si="36"/>
        <v>OK</v>
      </c>
      <c r="AH133" s="335" t="str">
        <f t="shared" si="36"/>
        <v>OK</v>
      </c>
      <c r="AI133" s="335" t="str">
        <f t="shared" si="36"/>
        <v>OK</v>
      </c>
      <c r="AJ133" s="335" t="str">
        <f t="shared" si="36"/>
        <v>OK</v>
      </c>
      <c r="AK133" s="335" t="str">
        <f t="shared" si="36"/>
        <v>OK</v>
      </c>
      <c r="AL133" s="336" t="str">
        <f t="shared" si="36"/>
        <v>OK</v>
      </c>
    </row>
    <row r="134" spans="1:38" s="85" customFormat="1" outlineLevel="2">
      <c r="A134" s="375"/>
      <c r="B134" s="366"/>
      <c r="C134" s="367" t="s">
        <v>294</v>
      </c>
      <c r="D134" s="89" t="s">
        <v>345</v>
      </c>
      <c r="E134" s="407" t="s">
        <v>31</v>
      </c>
      <c r="F134" s="408" t="s">
        <v>31</v>
      </c>
      <c r="G134" s="408" t="s">
        <v>31</v>
      </c>
      <c r="H134" s="409" t="s">
        <v>31</v>
      </c>
      <c r="I134" s="342" t="str">
        <f t="shared" ref="I134:AL134" si="37">IF(I65&gt;=I66,"OK","BŁĄD")</f>
        <v>OK</v>
      </c>
      <c r="J134" s="335" t="str">
        <f t="shared" si="37"/>
        <v>OK</v>
      </c>
      <c r="K134" s="335" t="str">
        <f t="shared" si="37"/>
        <v>OK</v>
      </c>
      <c r="L134" s="335" t="str">
        <f t="shared" si="37"/>
        <v>OK</v>
      </c>
      <c r="M134" s="335" t="str">
        <f t="shared" si="37"/>
        <v>OK</v>
      </c>
      <c r="N134" s="335" t="str">
        <f t="shared" si="37"/>
        <v>OK</v>
      </c>
      <c r="O134" s="335" t="str">
        <f t="shared" si="37"/>
        <v>OK</v>
      </c>
      <c r="P134" s="335" t="str">
        <f t="shared" si="37"/>
        <v>OK</v>
      </c>
      <c r="Q134" s="335" t="str">
        <f t="shared" si="37"/>
        <v>OK</v>
      </c>
      <c r="R134" s="335" t="str">
        <f t="shared" si="37"/>
        <v>OK</v>
      </c>
      <c r="S134" s="335" t="str">
        <f t="shared" si="37"/>
        <v>OK</v>
      </c>
      <c r="T134" s="335" t="str">
        <f t="shared" si="37"/>
        <v>OK</v>
      </c>
      <c r="U134" s="335" t="str">
        <f t="shared" si="37"/>
        <v>OK</v>
      </c>
      <c r="V134" s="335" t="str">
        <f t="shared" si="37"/>
        <v>OK</v>
      </c>
      <c r="W134" s="335" t="str">
        <f t="shared" si="37"/>
        <v>OK</v>
      </c>
      <c r="X134" s="335" t="str">
        <f t="shared" si="37"/>
        <v>OK</v>
      </c>
      <c r="Y134" s="335" t="str">
        <f t="shared" si="37"/>
        <v>OK</v>
      </c>
      <c r="Z134" s="335" t="str">
        <f t="shared" si="37"/>
        <v>OK</v>
      </c>
      <c r="AA134" s="335" t="str">
        <f t="shared" si="37"/>
        <v>OK</v>
      </c>
      <c r="AB134" s="335" t="str">
        <f t="shared" si="37"/>
        <v>OK</v>
      </c>
      <c r="AC134" s="335" t="str">
        <f t="shared" si="37"/>
        <v>OK</v>
      </c>
      <c r="AD134" s="335" t="str">
        <f t="shared" si="37"/>
        <v>OK</v>
      </c>
      <c r="AE134" s="335" t="str">
        <f t="shared" si="37"/>
        <v>OK</v>
      </c>
      <c r="AF134" s="335" t="str">
        <f t="shared" si="37"/>
        <v>OK</v>
      </c>
      <c r="AG134" s="335" t="str">
        <f t="shared" si="37"/>
        <v>OK</v>
      </c>
      <c r="AH134" s="335" t="str">
        <f t="shared" si="37"/>
        <v>OK</v>
      </c>
      <c r="AI134" s="335" t="str">
        <f t="shared" si="37"/>
        <v>OK</v>
      </c>
      <c r="AJ134" s="335" t="str">
        <f t="shared" si="37"/>
        <v>OK</v>
      </c>
      <c r="AK134" s="335" t="str">
        <f t="shared" si="37"/>
        <v>OK</v>
      </c>
      <c r="AL134" s="336" t="str">
        <f t="shared" si="37"/>
        <v>OK</v>
      </c>
    </row>
    <row r="135" spans="1:38" s="85" customFormat="1" outlineLevel="2">
      <c r="A135" s="375"/>
      <c r="B135" s="366"/>
      <c r="C135" s="367" t="s">
        <v>296</v>
      </c>
      <c r="D135" s="89" t="s">
        <v>347</v>
      </c>
      <c r="E135" s="407" t="s">
        <v>31</v>
      </c>
      <c r="F135" s="408" t="s">
        <v>31</v>
      </c>
      <c r="G135" s="408" t="s">
        <v>31</v>
      </c>
      <c r="H135" s="409" t="s">
        <v>31</v>
      </c>
      <c r="I135" s="342" t="str">
        <f t="shared" ref="I135:AL136" si="38">IF(I77&gt;=I78,"OK","BŁĄD")</f>
        <v>OK</v>
      </c>
      <c r="J135" s="335" t="str">
        <f t="shared" si="38"/>
        <v>OK</v>
      </c>
      <c r="K135" s="335" t="str">
        <f t="shared" si="38"/>
        <v>OK</v>
      </c>
      <c r="L135" s="335" t="str">
        <f t="shared" si="38"/>
        <v>OK</v>
      </c>
      <c r="M135" s="335" t="str">
        <f t="shared" si="38"/>
        <v>OK</v>
      </c>
      <c r="N135" s="335" t="str">
        <f t="shared" si="38"/>
        <v>OK</v>
      </c>
      <c r="O135" s="335" t="str">
        <f t="shared" si="38"/>
        <v>OK</v>
      </c>
      <c r="P135" s="335" t="str">
        <f t="shared" si="38"/>
        <v>OK</v>
      </c>
      <c r="Q135" s="335" t="str">
        <f t="shared" si="38"/>
        <v>OK</v>
      </c>
      <c r="R135" s="335" t="str">
        <f t="shared" si="38"/>
        <v>OK</v>
      </c>
      <c r="S135" s="335" t="str">
        <f t="shared" si="38"/>
        <v>OK</v>
      </c>
      <c r="T135" s="335" t="str">
        <f t="shared" si="38"/>
        <v>OK</v>
      </c>
      <c r="U135" s="335" t="str">
        <f t="shared" si="38"/>
        <v>OK</v>
      </c>
      <c r="V135" s="335" t="str">
        <f t="shared" si="38"/>
        <v>OK</v>
      </c>
      <c r="W135" s="335" t="str">
        <f t="shared" si="38"/>
        <v>OK</v>
      </c>
      <c r="X135" s="335" t="str">
        <f t="shared" si="38"/>
        <v>OK</v>
      </c>
      <c r="Y135" s="335" t="str">
        <f t="shared" si="38"/>
        <v>OK</v>
      </c>
      <c r="Z135" s="335" t="str">
        <f t="shared" si="38"/>
        <v>OK</v>
      </c>
      <c r="AA135" s="335" t="str">
        <f t="shared" si="38"/>
        <v>OK</v>
      </c>
      <c r="AB135" s="335" t="str">
        <f t="shared" si="38"/>
        <v>OK</v>
      </c>
      <c r="AC135" s="335" t="str">
        <f t="shared" si="38"/>
        <v>OK</v>
      </c>
      <c r="AD135" s="335" t="str">
        <f t="shared" si="38"/>
        <v>OK</v>
      </c>
      <c r="AE135" s="335" t="str">
        <f t="shared" si="38"/>
        <v>OK</v>
      </c>
      <c r="AF135" s="335" t="str">
        <f t="shared" si="38"/>
        <v>OK</v>
      </c>
      <c r="AG135" s="335" t="str">
        <f t="shared" si="38"/>
        <v>OK</v>
      </c>
      <c r="AH135" s="335" t="str">
        <f t="shared" si="38"/>
        <v>OK</v>
      </c>
      <c r="AI135" s="335" t="str">
        <f t="shared" si="38"/>
        <v>OK</v>
      </c>
      <c r="AJ135" s="335" t="str">
        <f t="shared" si="38"/>
        <v>OK</v>
      </c>
      <c r="AK135" s="335" t="str">
        <f t="shared" si="38"/>
        <v>OK</v>
      </c>
      <c r="AL135" s="336" t="str">
        <f t="shared" si="38"/>
        <v>OK</v>
      </c>
    </row>
    <row r="136" spans="1:38" s="85" customFormat="1" outlineLevel="2">
      <c r="A136" s="375"/>
      <c r="B136" s="366"/>
      <c r="C136" s="367" t="s">
        <v>295</v>
      </c>
      <c r="D136" s="89" t="s">
        <v>346</v>
      </c>
      <c r="E136" s="407" t="s">
        <v>31</v>
      </c>
      <c r="F136" s="408" t="s">
        <v>31</v>
      </c>
      <c r="G136" s="408" t="s">
        <v>31</v>
      </c>
      <c r="H136" s="409" t="s">
        <v>31</v>
      </c>
      <c r="I136" s="342" t="str">
        <f t="shared" si="38"/>
        <v>OK</v>
      </c>
      <c r="J136" s="335" t="str">
        <f t="shared" si="38"/>
        <v>OK</v>
      </c>
      <c r="K136" s="335" t="str">
        <f t="shared" si="38"/>
        <v>OK</v>
      </c>
      <c r="L136" s="335" t="str">
        <f t="shared" si="38"/>
        <v>OK</v>
      </c>
      <c r="M136" s="335" t="str">
        <f t="shared" si="38"/>
        <v>OK</v>
      </c>
      <c r="N136" s="335" t="str">
        <f t="shared" si="38"/>
        <v>OK</v>
      </c>
      <c r="O136" s="335" t="str">
        <f t="shared" si="38"/>
        <v>OK</v>
      </c>
      <c r="P136" s="335" t="str">
        <f t="shared" si="38"/>
        <v>OK</v>
      </c>
      <c r="Q136" s="335" t="str">
        <f t="shared" si="38"/>
        <v>OK</v>
      </c>
      <c r="R136" s="335" t="str">
        <f t="shared" si="38"/>
        <v>OK</v>
      </c>
      <c r="S136" s="335" t="str">
        <f t="shared" si="38"/>
        <v>OK</v>
      </c>
      <c r="T136" s="335" t="str">
        <f t="shared" si="38"/>
        <v>OK</v>
      </c>
      <c r="U136" s="335" t="str">
        <f t="shared" si="38"/>
        <v>OK</v>
      </c>
      <c r="V136" s="335" t="str">
        <f t="shared" si="38"/>
        <v>OK</v>
      </c>
      <c r="W136" s="335" t="str">
        <f t="shared" si="38"/>
        <v>OK</v>
      </c>
      <c r="X136" s="335" t="str">
        <f t="shared" si="38"/>
        <v>OK</v>
      </c>
      <c r="Y136" s="335" t="str">
        <f t="shared" si="38"/>
        <v>OK</v>
      </c>
      <c r="Z136" s="335" t="str">
        <f t="shared" si="38"/>
        <v>OK</v>
      </c>
      <c r="AA136" s="335" t="str">
        <f t="shared" si="38"/>
        <v>OK</v>
      </c>
      <c r="AB136" s="335" t="str">
        <f t="shared" si="38"/>
        <v>OK</v>
      </c>
      <c r="AC136" s="335" t="str">
        <f t="shared" si="38"/>
        <v>OK</v>
      </c>
      <c r="AD136" s="335" t="str">
        <f t="shared" si="38"/>
        <v>OK</v>
      </c>
      <c r="AE136" s="335" t="str">
        <f t="shared" si="38"/>
        <v>OK</v>
      </c>
      <c r="AF136" s="335" t="str">
        <f t="shared" si="38"/>
        <v>OK</v>
      </c>
      <c r="AG136" s="335" t="str">
        <f t="shared" si="38"/>
        <v>OK</v>
      </c>
      <c r="AH136" s="335" t="str">
        <f t="shared" si="38"/>
        <v>OK</v>
      </c>
      <c r="AI136" s="335" t="str">
        <f t="shared" si="38"/>
        <v>OK</v>
      </c>
      <c r="AJ136" s="335" t="str">
        <f t="shared" si="38"/>
        <v>OK</v>
      </c>
      <c r="AK136" s="335" t="str">
        <f t="shared" si="38"/>
        <v>OK</v>
      </c>
      <c r="AL136" s="336" t="str">
        <f t="shared" si="38"/>
        <v>OK</v>
      </c>
    </row>
    <row r="137" spans="1:38" s="85" customFormat="1" outlineLevel="2">
      <c r="A137" s="375"/>
      <c r="B137" s="366"/>
      <c r="C137" s="367" t="s">
        <v>298</v>
      </c>
      <c r="D137" s="89" t="s">
        <v>349</v>
      </c>
      <c r="E137" s="407" t="s">
        <v>31</v>
      </c>
      <c r="F137" s="408" t="s">
        <v>31</v>
      </c>
      <c r="G137" s="408" t="s">
        <v>31</v>
      </c>
      <c r="H137" s="409" t="s">
        <v>31</v>
      </c>
      <c r="I137" s="342" t="str">
        <f t="shared" ref="I137:AL138" si="39">IF(I80&gt;=I81,"OK","BŁĄD")</f>
        <v>OK</v>
      </c>
      <c r="J137" s="335" t="str">
        <f t="shared" si="39"/>
        <v>OK</v>
      </c>
      <c r="K137" s="335" t="str">
        <f t="shared" si="39"/>
        <v>OK</v>
      </c>
      <c r="L137" s="335" t="str">
        <f t="shared" si="39"/>
        <v>OK</v>
      </c>
      <c r="M137" s="335" t="str">
        <f t="shared" si="39"/>
        <v>OK</v>
      </c>
      <c r="N137" s="335" t="str">
        <f t="shared" si="39"/>
        <v>OK</v>
      </c>
      <c r="O137" s="335" t="str">
        <f t="shared" si="39"/>
        <v>OK</v>
      </c>
      <c r="P137" s="335" t="str">
        <f t="shared" si="39"/>
        <v>OK</v>
      </c>
      <c r="Q137" s="335" t="str">
        <f t="shared" si="39"/>
        <v>OK</v>
      </c>
      <c r="R137" s="335" t="str">
        <f t="shared" si="39"/>
        <v>OK</v>
      </c>
      <c r="S137" s="335" t="str">
        <f t="shared" si="39"/>
        <v>OK</v>
      </c>
      <c r="T137" s="335" t="str">
        <f t="shared" si="39"/>
        <v>OK</v>
      </c>
      <c r="U137" s="335" t="str">
        <f t="shared" si="39"/>
        <v>OK</v>
      </c>
      <c r="V137" s="335" t="str">
        <f t="shared" si="39"/>
        <v>OK</v>
      </c>
      <c r="W137" s="335" t="str">
        <f t="shared" si="39"/>
        <v>OK</v>
      </c>
      <c r="X137" s="335" t="str">
        <f t="shared" si="39"/>
        <v>OK</v>
      </c>
      <c r="Y137" s="335" t="str">
        <f t="shared" si="39"/>
        <v>OK</v>
      </c>
      <c r="Z137" s="335" t="str">
        <f t="shared" si="39"/>
        <v>OK</v>
      </c>
      <c r="AA137" s="335" t="str">
        <f t="shared" si="39"/>
        <v>OK</v>
      </c>
      <c r="AB137" s="335" t="str">
        <f t="shared" si="39"/>
        <v>OK</v>
      </c>
      <c r="AC137" s="335" t="str">
        <f t="shared" si="39"/>
        <v>OK</v>
      </c>
      <c r="AD137" s="335" t="str">
        <f t="shared" si="39"/>
        <v>OK</v>
      </c>
      <c r="AE137" s="335" t="str">
        <f t="shared" si="39"/>
        <v>OK</v>
      </c>
      <c r="AF137" s="335" t="str">
        <f t="shared" si="39"/>
        <v>OK</v>
      </c>
      <c r="AG137" s="335" t="str">
        <f t="shared" si="39"/>
        <v>OK</v>
      </c>
      <c r="AH137" s="335" t="str">
        <f t="shared" si="39"/>
        <v>OK</v>
      </c>
      <c r="AI137" s="335" t="str">
        <f t="shared" si="39"/>
        <v>OK</v>
      </c>
      <c r="AJ137" s="335" t="str">
        <f t="shared" si="39"/>
        <v>OK</v>
      </c>
      <c r="AK137" s="335" t="str">
        <f t="shared" si="39"/>
        <v>OK</v>
      </c>
      <c r="AL137" s="336" t="str">
        <f t="shared" si="39"/>
        <v>OK</v>
      </c>
    </row>
    <row r="138" spans="1:38" s="85" customFormat="1" outlineLevel="2">
      <c r="A138" s="375"/>
      <c r="B138" s="366"/>
      <c r="C138" s="367" t="s">
        <v>297</v>
      </c>
      <c r="D138" s="89" t="s">
        <v>348</v>
      </c>
      <c r="E138" s="407" t="s">
        <v>31</v>
      </c>
      <c r="F138" s="408" t="s">
        <v>31</v>
      </c>
      <c r="G138" s="408" t="s">
        <v>31</v>
      </c>
      <c r="H138" s="409" t="s">
        <v>31</v>
      </c>
      <c r="I138" s="342" t="str">
        <f t="shared" si="39"/>
        <v>OK</v>
      </c>
      <c r="J138" s="335" t="str">
        <f t="shared" si="39"/>
        <v>OK</v>
      </c>
      <c r="K138" s="335" t="str">
        <f t="shared" si="39"/>
        <v>OK</v>
      </c>
      <c r="L138" s="335" t="str">
        <f t="shared" si="39"/>
        <v>OK</v>
      </c>
      <c r="M138" s="335" t="str">
        <f t="shared" si="39"/>
        <v>OK</v>
      </c>
      <c r="N138" s="335" t="str">
        <f t="shared" si="39"/>
        <v>OK</v>
      </c>
      <c r="O138" s="335" t="str">
        <f t="shared" si="39"/>
        <v>OK</v>
      </c>
      <c r="P138" s="335" t="str">
        <f t="shared" si="39"/>
        <v>OK</v>
      </c>
      <c r="Q138" s="335" t="str">
        <f t="shared" si="39"/>
        <v>OK</v>
      </c>
      <c r="R138" s="335" t="str">
        <f t="shared" si="39"/>
        <v>OK</v>
      </c>
      <c r="S138" s="335" t="str">
        <f t="shared" si="39"/>
        <v>OK</v>
      </c>
      <c r="T138" s="335" t="str">
        <f t="shared" si="39"/>
        <v>OK</v>
      </c>
      <c r="U138" s="335" t="str">
        <f t="shared" si="39"/>
        <v>OK</v>
      </c>
      <c r="V138" s="335" t="str">
        <f t="shared" si="39"/>
        <v>OK</v>
      </c>
      <c r="W138" s="335" t="str">
        <f t="shared" si="39"/>
        <v>OK</v>
      </c>
      <c r="X138" s="335" t="str">
        <f t="shared" si="39"/>
        <v>OK</v>
      </c>
      <c r="Y138" s="335" t="str">
        <f t="shared" si="39"/>
        <v>OK</v>
      </c>
      <c r="Z138" s="335" t="str">
        <f t="shared" si="39"/>
        <v>OK</v>
      </c>
      <c r="AA138" s="335" t="str">
        <f t="shared" si="39"/>
        <v>OK</v>
      </c>
      <c r="AB138" s="335" t="str">
        <f t="shared" si="39"/>
        <v>OK</v>
      </c>
      <c r="AC138" s="335" t="str">
        <f t="shared" si="39"/>
        <v>OK</v>
      </c>
      <c r="AD138" s="335" t="str">
        <f t="shared" si="39"/>
        <v>OK</v>
      </c>
      <c r="AE138" s="335" t="str">
        <f t="shared" si="39"/>
        <v>OK</v>
      </c>
      <c r="AF138" s="335" t="str">
        <f t="shared" si="39"/>
        <v>OK</v>
      </c>
      <c r="AG138" s="335" t="str">
        <f t="shared" si="39"/>
        <v>OK</v>
      </c>
      <c r="AH138" s="335" t="str">
        <f t="shared" si="39"/>
        <v>OK</v>
      </c>
      <c r="AI138" s="335" t="str">
        <f t="shared" si="39"/>
        <v>OK</v>
      </c>
      <c r="AJ138" s="335" t="str">
        <f t="shared" si="39"/>
        <v>OK</v>
      </c>
      <c r="AK138" s="335" t="str">
        <f t="shared" si="39"/>
        <v>OK</v>
      </c>
      <c r="AL138" s="336" t="str">
        <f t="shared" si="39"/>
        <v>OK</v>
      </c>
    </row>
    <row r="139" spans="1:38" s="85" customFormat="1" outlineLevel="2">
      <c r="A139" s="375"/>
      <c r="B139" s="366"/>
      <c r="C139" s="367" t="s">
        <v>299</v>
      </c>
      <c r="D139" s="89" t="s">
        <v>350</v>
      </c>
      <c r="E139" s="407" t="s">
        <v>31</v>
      </c>
      <c r="F139" s="408" t="s">
        <v>31</v>
      </c>
      <c r="G139" s="408" t="s">
        <v>31</v>
      </c>
      <c r="H139" s="409" t="s">
        <v>31</v>
      </c>
      <c r="I139" s="342" t="str">
        <f t="shared" ref="I139:AL139" si="40">IF(I83&gt;=I84,"OK","BŁĄD")</f>
        <v>OK</v>
      </c>
      <c r="J139" s="335" t="str">
        <f t="shared" si="40"/>
        <v>OK</v>
      </c>
      <c r="K139" s="335" t="str">
        <f t="shared" si="40"/>
        <v>OK</v>
      </c>
      <c r="L139" s="335" t="str">
        <f t="shared" si="40"/>
        <v>OK</v>
      </c>
      <c r="M139" s="335" t="str">
        <f t="shared" si="40"/>
        <v>OK</v>
      </c>
      <c r="N139" s="335" t="str">
        <f t="shared" si="40"/>
        <v>OK</v>
      </c>
      <c r="O139" s="335" t="str">
        <f t="shared" si="40"/>
        <v>OK</v>
      </c>
      <c r="P139" s="335" t="str">
        <f t="shared" si="40"/>
        <v>OK</v>
      </c>
      <c r="Q139" s="335" t="str">
        <f t="shared" si="40"/>
        <v>OK</v>
      </c>
      <c r="R139" s="335" t="str">
        <f t="shared" si="40"/>
        <v>OK</v>
      </c>
      <c r="S139" s="335" t="str">
        <f t="shared" si="40"/>
        <v>OK</v>
      </c>
      <c r="T139" s="335" t="str">
        <f t="shared" si="40"/>
        <v>OK</v>
      </c>
      <c r="U139" s="335" t="str">
        <f t="shared" si="40"/>
        <v>OK</v>
      </c>
      <c r="V139" s="335" t="str">
        <f t="shared" si="40"/>
        <v>OK</v>
      </c>
      <c r="W139" s="335" t="str">
        <f t="shared" si="40"/>
        <v>OK</v>
      </c>
      <c r="X139" s="335" t="str">
        <f t="shared" si="40"/>
        <v>OK</v>
      </c>
      <c r="Y139" s="335" t="str">
        <f t="shared" si="40"/>
        <v>OK</v>
      </c>
      <c r="Z139" s="335" t="str">
        <f t="shared" si="40"/>
        <v>OK</v>
      </c>
      <c r="AA139" s="335" t="str">
        <f t="shared" si="40"/>
        <v>OK</v>
      </c>
      <c r="AB139" s="335" t="str">
        <f t="shared" si="40"/>
        <v>OK</v>
      </c>
      <c r="AC139" s="335" t="str">
        <f t="shared" si="40"/>
        <v>OK</v>
      </c>
      <c r="AD139" s="335" t="str">
        <f t="shared" si="40"/>
        <v>OK</v>
      </c>
      <c r="AE139" s="335" t="str">
        <f t="shared" si="40"/>
        <v>OK</v>
      </c>
      <c r="AF139" s="335" t="str">
        <f t="shared" si="40"/>
        <v>OK</v>
      </c>
      <c r="AG139" s="335" t="str">
        <f t="shared" si="40"/>
        <v>OK</v>
      </c>
      <c r="AH139" s="335" t="str">
        <f t="shared" si="40"/>
        <v>OK</v>
      </c>
      <c r="AI139" s="335" t="str">
        <f t="shared" si="40"/>
        <v>OK</v>
      </c>
      <c r="AJ139" s="335" t="str">
        <f t="shared" si="40"/>
        <v>OK</v>
      </c>
      <c r="AK139" s="335" t="str">
        <f t="shared" si="40"/>
        <v>OK</v>
      </c>
      <c r="AL139" s="336" t="str">
        <f t="shared" si="40"/>
        <v>OK</v>
      </c>
    </row>
    <row r="140" spans="1:38" s="85" customFormat="1" outlineLevel="2">
      <c r="A140" s="375"/>
      <c r="B140" s="366"/>
      <c r="C140" s="367" t="s">
        <v>300</v>
      </c>
      <c r="D140" s="89" t="s">
        <v>351</v>
      </c>
      <c r="E140" s="407" t="s">
        <v>31</v>
      </c>
      <c r="F140" s="408" t="s">
        <v>31</v>
      </c>
      <c r="G140" s="408" t="s">
        <v>31</v>
      </c>
      <c r="H140" s="409" t="s">
        <v>31</v>
      </c>
      <c r="I140" s="342" t="str">
        <f t="shared" ref="I140:AL140" si="41">IF(I83&gt;=I85,"OK","BŁĄD")</f>
        <v>OK</v>
      </c>
      <c r="J140" s="335" t="str">
        <f t="shared" si="41"/>
        <v>OK</v>
      </c>
      <c r="K140" s="335" t="str">
        <f t="shared" si="41"/>
        <v>OK</v>
      </c>
      <c r="L140" s="335" t="str">
        <f t="shared" si="41"/>
        <v>OK</v>
      </c>
      <c r="M140" s="335" t="str">
        <f t="shared" si="41"/>
        <v>OK</v>
      </c>
      <c r="N140" s="335" t="str">
        <f t="shared" si="41"/>
        <v>OK</v>
      </c>
      <c r="O140" s="335" t="str">
        <f t="shared" si="41"/>
        <v>OK</v>
      </c>
      <c r="P140" s="335" t="str">
        <f t="shared" si="41"/>
        <v>OK</v>
      </c>
      <c r="Q140" s="335" t="str">
        <f t="shared" si="41"/>
        <v>OK</v>
      </c>
      <c r="R140" s="335" t="str">
        <f t="shared" si="41"/>
        <v>OK</v>
      </c>
      <c r="S140" s="335" t="str">
        <f t="shared" si="41"/>
        <v>OK</v>
      </c>
      <c r="T140" s="335" t="str">
        <f t="shared" si="41"/>
        <v>OK</v>
      </c>
      <c r="U140" s="335" t="str">
        <f t="shared" si="41"/>
        <v>OK</v>
      </c>
      <c r="V140" s="335" t="str">
        <f t="shared" si="41"/>
        <v>OK</v>
      </c>
      <c r="W140" s="335" t="str">
        <f t="shared" si="41"/>
        <v>OK</v>
      </c>
      <c r="X140" s="335" t="str">
        <f t="shared" si="41"/>
        <v>OK</v>
      </c>
      <c r="Y140" s="335" t="str">
        <f t="shared" si="41"/>
        <v>OK</v>
      </c>
      <c r="Z140" s="335" t="str">
        <f t="shared" si="41"/>
        <v>OK</v>
      </c>
      <c r="AA140" s="335" t="str">
        <f t="shared" si="41"/>
        <v>OK</v>
      </c>
      <c r="AB140" s="335" t="str">
        <f t="shared" si="41"/>
        <v>OK</v>
      </c>
      <c r="AC140" s="335" t="str">
        <f t="shared" si="41"/>
        <v>OK</v>
      </c>
      <c r="AD140" s="335" t="str">
        <f t="shared" si="41"/>
        <v>OK</v>
      </c>
      <c r="AE140" s="335" t="str">
        <f t="shared" si="41"/>
        <v>OK</v>
      </c>
      <c r="AF140" s="335" t="str">
        <f t="shared" si="41"/>
        <v>OK</v>
      </c>
      <c r="AG140" s="335" t="str">
        <f t="shared" si="41"/>
        <v>OK</v>
      </c>
      <c r="AH140" s="335" t="str">
        <f t="shared" si="41"/>
        <v>OK</v>
      </c>
      <c r="AI140" s="335" t="str">
        <f t="shared" si="41"/>
        <v>OK</v>
      </c>
      <c r="AJ140" s="335" t="str">
        <f t="shared" si="41"/>
        <v>OK</v>
      </c>
      <c r="AK140" s="335" t="str">
        <f t="shared" si="41"/>
        <v>OK</v>
      </c>
      <c r="AL140" s="336" t="str">
        <f t="shared" si="41"/>
        <v>OK</v>
      </c>
    </row>
    <row r="141" spans="1:38" s="85" customFormat="1" outlineLevel="2">
      <c r="A141" s="375"/>
      <c r="B141" s="366"/>
      <c r="C141" s="367" t="s">
        <v>301</v>
      </c>
      <c r="D141" s="89" t="s">
        <v>352</v>
      </c>
      <c r="E141" s="407" t="s">
        <v>31</v>
      </c>
      <c r="F141" s="408" t="s">
        <v>31</v>
      </c>
      <c r="G141" s="408" t="s">
        <v>31</v>
      </c>
      <c r="H141" s="409" t="s">
        <v>31</v>
      </c>
      <c r="I141" s="342" t="str">
        <f t="shared" ref="I141:AL141" si="42">IF(I86&gt;=I87,"OK","BŁĄD")</f>
        <v>OK</v>
      </c>
      <c r="J141" s="335" t="str">
        <f t="shared" si="42"/>
        <v>OK</v>
      </c>
      <c r="K141" s="335" t="str">
        <f t="shared" si="42"/>
        <v>OK</v>
      </c>
      <c r="L141" s="335" t="str">
        <f t="shared" si="42"/>
        <v>OK</v>
      </c>
      <c r="M141" s="335" t="str">
        <f t="shared" si="42"/>
        <v>OK</v>
      </c>
      <c r="N141" s="335" t="str">
        <f t="shared" si="42"/>
        <v>OK</v>
      </c>
      <c r="O141" s="335" t="str">
        <f t="shared" si="42"/>
        <v>OK</v>
      </c>
      <c r="P141" s="335" t="str">
        <f t="shared" si="42"/>
        <v>OK</v>
      </c>
      <c r="Q141" s="335" t="str">
        <f t="shared" si="42"/>
        <v>OK</v>
      </c>
      <c r="R141" s="335" t="str">
        <f t="shared" si="42"/>
        <v>OK</v>
      </c>
      <c r="S141" s="335" t="str">
        <f t="shared" si="42"/>
        <v>OK</v>
      </c>
      <c r="T141" s="335" t="str">
        <f t="shared" si="42"/>
        <v>OK</v>
      </c>
      <c r="U141" s="335" t="str">
        <f t="shared" si="42"/>
        <v>OK</v>
      </c>
      <c r="V141" s="335" t="str">
        <f t="shared" si="42"/>
        <v>OK</v>
      </c>
      <c r="W141" s="335" t="str">
        <f t="shared" si="42"/>
        <v>OK</v>
      </c>
      <c r="X141" s="335" t="str">
        <f t="shared" si="42"/>
        <v>OK</v>
      </c>
      <c r="Y141" s="335" t="str">
        <f t="shared" si="42"/>
        <v>OK</v>
      </c>
      <c r="Z141" s="335" t="str">
        <f t="shared" si="42"/>
        <v>OK</v>
      </c>
      <c r="AA141" s="335" t="str">
        <f t="shared" si="42"/>
        <v>OK</v>
      </c>
      <c r="AB141" s="335" t="str">
        <f t="shared" si="42"/>
        <v>OK</v>
      </c>
      <c r="AC141" s="335" t="str">
        <f t="shared" si="42"/>
        <v>OK</v>
      </c>
      <c r="AD141" s="335" t="str">
        <f t="shared" si="42"/>
        <v>OK</v>
      </c>
      <c r="AE141" s="335" t="str">
        <f t="shared" si="42"/>
        <v>OK</v>
      </c>
      <c r="AF141" s="335" t="str">
        <f t="shared" si="42"/>
        <v>OK</v>
      </c>
      <c r="AG141" s="335" t="str">
        <f t="shared" si="42"/>
        <v>OK</v>
      </c>
      <c r="AH141" s="335" t="str">
        <f t="shared" si="42"/>
        <v>OK</v>
      </c>
      <c r="AI141" s="335" t="str">
        <f t="shared" si="42"/>
        <v>OK</v>
      </c>
      <c r="AJ141" s="335" t="str">
        <f t="shared" si="42"/>
        <v>OK</v>
      </c>
      <c r="AK141" s="335" t="str">
        <f t="shared" si="42"/>
        <v>OK</v>
      </c>
      <c r="AL141" s="336" t="str">
        <f t="shared" si="42"/>
        <v>OK</v>
      </c>
    </row>
    <row r="142" spans="1:38" s="85" customFormat="1" outlineLevel="2">
      <c r="A142" s="375"/>
      <c r="B142" s="366"/>
      <c r="C142" s="367" t="s">
        <v>302</v>
      </c>
      <c r="D142" s="89" t="s">
        <v>353</v>
      </c>
      <c r="E142" s="407" t="s">
        <v>31</v>
      </c>
      <c r="F142" s="408" t="s">
        <v>31</v>
      </c>
      <c r="G142" s="408" t="s">
        <v>31</v>
      </c>
      <c r="H142" s="409" t="s">
        <v>31</v>
      </c>
      <c r="I142" s="342" t="str">
        <f t="shared" ref="I142:AL142" si="43">IF(I86&gt;=I88,"OK","BŁĄD")</f>
        <v>OK</v>
      </c>
      <c r="J142" s="335" t="str">
        <f t="shared" si="43"/>
        <v>OK</v>
      </c>
      <c r="K142" s="335" t="str">
        <f t="shared" si="43"/>
        <v>OK</v>
      </c>
      <c r="L142" s="335" t="str">
        <f t="shared" si="43"/>
        <v>OK</v>
      </c>
      <c r="M142" s="335" t="str">
        <f t="shared" si="43"/>
        <v>OK</v>
      </c>
      <c r="N142" s="335" t="str">
        <f t="shared" si="43"/>
        <v>OK</v>
      </c>
      <c r="O142" s="335" t="str">
        <f t="shared" si="43"/>
        <v>OK</v>
      </c>
      <c r="P142" s="335" t="str">
        <f t="shared" si="43"/>
        <v>OK</v>
      </c>
      <c r="Q142" s="335" t="str">
        <f t="shared" si="43"/>
        <v>OK</v>
      </c>
      <c r="R142" s="335" t="str">
        <f t="shared" si="43"/>
        <v>OK</v>
      </c>
      <c r="S142" s="335" t="str">
        <f t="shared" si="43"/>
        <v>OK</v>
      </c>
      <c r="T142" s="335" t="str">
        <f t="shared" si="43"/>
        <v>OK</v>
      </c>
      <c r="U142" s="335" t="str">
        <f t="shared" si="43"/>
        <v>OK</v>
      </c>
      <c r="V142" s="335" t="str">
        <f t="shared" si="43"/>
        <v>OK</v>
      </c>
      <c r="W142" s="335" t="str">
        <f t="shared" si="43"/>
        <v>OK</v>
      </c>
      <c r="X142" s="335" t="str">
        <f t="shared" si="43"/>
        <v>OK</v>
      </c>
      <c r="Y142" s="335" t="str">
        <f t="shared" si="43"/>
        <v>OK</v>
      </c>
      <c r="Z142" s="335" t="str">
        <f t="shared" si="43"/>
        <v>OK</v>
      </c>
      <c r="AA142" s="335" t="str">
        <f t="shared" si="43"/>
        <v>OK</v>
      </c>
      <c r="AB142" s="335" t="str">
        <f t="shared" si="43"/>
        <v>OK</v>
      </c>
      <c r="AC142" s="335" t="str">
        <f t="shared" si="43"/>
        <v>OK</v>
      </c>
      <c r="AD142" s="335" t="str">
        <f t="shared" si="43"/>
        <v>OK</v>
      </c>
      <c r="AE142" s="335" t="str">
        <f t="shared" si="43"/>
        <v>OK</v>
      </c>
      <c r="AF142" s="335" t="str">
        <f t="shared" si="43"/>
        <v>OK</v>
      </c>
      <c r="AG142" s="335" t="str">
        <f t="shared" si="43"/>
        <v>OK</v>
      </c>
      <c r="AH142" s="335" t="str">
        <f t="shared" si="43"/>
        <v>OK</v>
      </c>
      <c r="AI142" s="335" t="str">
        <f t="shared" si="43"/>
        <v>OK</v>
      </c>
      <c r="AJ142" s="335" t="str">
        <f t="shared" si="43"/>
        <v>OK</v>
      </c>
      <c r="AK142" s="335" t="str">
        <f t="shared" si="43"/>
        <v>OK</v>
      </c>
      <c r="AL142" s="336" t="str">
        <f t="shared" si="43"/>
        <v>OK</v>
      </c>
    </row>
    <row r="143" spans="1:38" s="85" customFormat="1" outlineLevel="2">
      <c r="A143" s="375"/>
      <c r="B143" s="366"/>
      <c r="C143" s="367" t="s">
        <v>303</v>
      </c>
      <c r="D143" s="89" t="s">
        <v>354</v>
      </c>
      <c r="E143" s="407" t="s">
        <v>31</v>
      </c>
      <c r="F143" s="408" t="s">
        <v>31</v>
      </c>
      <c r="G143" s="408" t="s">
        <v>31</v>
      </c>
      <c r="H143" s="409" t="s">
        <v>31</v>
      </c>
      <c r="I143" s="342" t="str">
        <f t="shared" ref="I143:AL143" si="44">IF(I90&gt;=I92,"OK","BŁĄD")</f>
        <v>OK</v>
      </c>
      <c r="J143" s="335" t="str">
        <f t="shared" si="44"/>
        <v>OK</v>
      </c>
      <c r="K143" s="335" t="str">
        <f t="shared" si="44"/>
        <v>OK</v>
      </c>
      <c r="L143" s="335" t="str">
        <f t="shared" si="44"/>
        <v>OK</v>
      </c>
      <c r="M143" s="335" t="str">
        <f t="shared" si="44"/>
        <v>OK</v>
      </c>
      <c r="N143" s="335" t="str">
        <f t="shared" si="44"/>
        <v>OK</v>
      </c>
      <c r="O143" s="335" t="str">
        <f t="shared" si="44"/>
        <v>OK</v>
      </c>
      <c r="P143" s="335" t="str">
        <f t="shared" si="44"/>
        <v>OK</v>
      </c>
      <c r="Q143" s="335" t="str">
        <f t="shared" si="44"/>
        <v>OK</v>
      </c>
      <c r="R143" s="335" t="str">
        <f t="shared" si="44"/>
        <v>OK</v>
      </c>
      <c r="S143" s="335" t="str">
        <f t="shared" si="44"/>
        <v>OK</v>
      </c>
      <c r="T143" s="335" t="str">
        <f t="shared" si="44"/>
        <v>OK</v>
      </c>
      <c r="U143" s="335" t="str">
        <f t="shared" si="44"/>
        <v>OK</v>
      </c>
      <c r="V143" s="335" t="str">
        <f t="shared" si="44"/>
        <v>OK</v>
      </c>
      <c r="W143" s="335" t="str">
        <f t="shared" si="44"/>
        <v>OK</v>
      </c>
      <c r="X143" s="335" t="str">
        <f t="shared" si="44"/>
        <v>OK</v>
      </c>
      <c r="Y143" s="335" t="str">
        <f t="shared" si="44"/>
        <v>OK</v>
      </c>
      <c r="Z143" s="335" t="str">
        <f t="shared" si="44"/>
        <v>OK</v>
      </c>
      <c r="AA143" s="335" t="str">
        <f t="shared" si="44"/>
        <v>OK</v>
      </c>
      <c r="AB143" s="335" t="str">
        <f t="shared" si="44"/>
        <v>OK</v>
      </c>
      <c r="AC143" s="335" t="str">
        <f t="shared" si="44"/>
        <v>OK</v>
      </c>
      <c r="AD143" s="335" t="str">
        <f t="shared" si="44"/>
        <v>OK</v>
      </c>
      <c r="AE143" s="335" t="str">
        <f t="shared" si="44"/>
        <v>OK</v>
      </c>
      <c r="AF143" s="335" t="str">
        <f t="shared" si="44"/>
        <v>OK</v>
      </c>
      <c r="AG143" s="335" t="str">
        <f t="shared" si="44"/>
        <v>OK</v>
      </c>
      <c r="AH143" s="335" t="str">
        <f t="shared" si="44"/>
        <v>OK</v>
      </c>
      <c r="AI143" s="335" t="str">
        <f t="shared" si="44"/>
        <v>OK</v>
      </c>
      <c r="AJ143" s="335" t="str">
        <f t="shared" si="44"/>
        <v>OK</v>
      </c>
      <c r="AK143" s="335" t="str">
        <f t="shared" si="44"/>
        <v>OK</v>
      </c>
      <c r="AL143" s="336" t="str">
        <f t="shared" si="44"/>
        <v>OK</v>
      </c>
    </row>
    <row r="144" spans="1:38" s="85" customFormat="1" outlineLevel="2">
      <c r="A144" s="375"/>
      <c r="B144" s="366"/>
      <c r="C144" s="367" t="s">
        <v>304</v>
      </c>
      <c r="D144" s="89" t="s">
        <v>355</v>
      </c>
      <c r="E144" s="407" t="s">
        <v>31</v>
      </c>
      <c r="F144" s="408" t="s">
        <v>31</v>
      </c>
      <c r="G144" s="408" t="s">
        <v>31</v>
      </c>
      <c r="H144" s="409" t="s">
        <v>31</v>
      </c>
      <c r="I144" s="342" t="str">
        <f t="shared" ref="I144:AL144" si="45">IF(I93&gt;=I25,"OK","BŁĄD")</f>
        <v>OK</v>
      </c>
      <c r="J144" s="335" t="str">
        <f t="shared" si="45"/>
        <v>OK</v>
      </c>
      <c r="K144" s="335" t="str">
        <f t="shared" si="45"/>
        <v>OK</v>
      </c>
      <c r="L144" s="335" t="str">
        <f t="shared" si="45"/>
        <v>OK</v>
      </c>
      <c r="M144" s="335" t="str">
        <f t="shared" si="45"/>
        <v>OK</v>
      </c>
      <c r="N144" s="335" t="str">
        <f t="shared" si="45"/>
        <v>OK</v>
      </c>
      <c r="O144" s="335" t="str">
        <f t="shared" si="45"/>
        <v>OK</v>
      </c>
      <c r="P144" s="335" t="str">
        <f t="shared" si="45"/>
        <v>OK</v>
      </c>
      <c r="Q144" s="335" t="str">
        <f t="shared" si="45"/>
        <v>OK</v>
      </c>
      <c r="R144" s="335" t="str">
        <f t="shared" si="45"/>
        <v>OK</v>
      </c>
      <c r="S144" s="335" t="str">
        <f t="shared" si="45"/>
        <v>OK</v>
      </c>
      <c r="T144" s="335" t="str">
        <f t="shared" si="45"/>
        <v>OK</v>
      </c>
      <c r="U144" s="335" t="str">
        <f t="shared" si="45"/>
        <v>OK</v>
      </c>
      <c r="V144" s="335" t="str">
        <f t="shared" si="45"/>
        <v>OK</v>
      </c>
      <c r="W144" s="335" t="str">
        <f t="shared" si="45"/>
        <v>OK</v>
      </c>
      <c r="X144" s="335" t="str">
        <f t="shared" si="45"/>
        <v>OK</v>
      </c>
      <c r="Y144" s="335" t="str">
        <f t="shared" si="45"/>
        <v>OK</v>
      </c>
      <c r="Z144" s="335" t="str">
        <f t="shared" si="45"/>
        <v>OK</v>
      </c>
      <c r="AA144" s="335" t="str">
        <f t="shared" si="45"/>
        <v>OK</v>
      </c>
      <c r="AB144" s="335" t="str">
        <f t="shared" si="45"/>
        <v>OK</v>
      </c>
      <c r="AC144" s="335" t="str">
        <f t="shared" si="45"/>
        <v>OK</v>
      </c>
      <c r="AD144" s="335" t="str">
        <f t="shared" si="45"/>
        <v>OK</v>
      </c>
      <c r="AE144" s="335" t="str">
        <f t="shared" si="45"/>
        <v>OK</v>
      </c>
      <c r="AF144" s="335" t="str">
        <f t="shared" si="45"/>
        <v>OK</v>
      </c>
      <c r="AG144" s="335" t="str">
        <f t="shared" si="45"/>
        <v>OK</v>
      </c>
      <c r="AH144" s="335" t="str">
        <f t="shared" si="45"/>
        <v>OK</v>
      </c>
      <c r="AI144" s="335" t="str">
        <f t="shared" si="45"/>
        <v>OK</v>
      </c>
      <c r="AJ144" s="335" t="str">
        <f t="shared" si="45"/>
        <v>OK</v>
      </c>
      <c r="AK144" s="335" t="str">
        <f t="shared" si="45"/>
        <v>OK</v>
      </c>
      <c r="AL144" s="336" t="str">
        <f t="shared" si="45"/>
        <v>OK</v>
      </c>
    </row>
    <row r="145" spans="1:38" s="85" customFormat="1" outlineLevel="2">
      <c r="A145" s="375"/>
      <c r="B145" s="366"/>
      <c r="C145" s="367" t="s">
        <v>305</v>
      </c>
      <c r="D145" s="89" t="s">
        <v>356</v>
      </c>
      <c r="E145" s="407" t="s">
        <v>31</v>
      </c>
      <c r="F145" s="408" t="s">
        <v>31</v>
      </c>
      <c r="G145" s="408" t="s">
        <v>31</v>
      </c>
      <c r="H145" s="409" t="s">
        <v>31</v>
      </c>
      <c r="I145" s="342" t="str">
        <f t="shared" ref="I145:AL145" si="46">IF(I100&gt;=(I101+I102+I103),"OK","BŁĄD")</f>
        <v>OK</v>
      </c>
      <c r="J145" s="335" t="str">
        <f t="shared" si="46"/>
        <v>OK</v>
      </c>
      <c r="K145" s="335" t="str">
        <f t="shared" si="46"/>
        <v>OK</v>
      </c>
      <c r="L145" s="335" t="str">
        <f t="shared" si="46"/>
        <v>OK</v>
      </c>
      <c r="M145" s="335" t="str">
        <f t="shared" si="46"/>
        <v>OK</v>
      </c>
      <c r="N145" s="335" t="str">
        <f t="shared" si="46"/>
        <v>OK</v>
      </c>
      <c r="O145" s="335" t="str">
        <f t="shared" si="46"/>
        <v>OK</v>
      </c>
      <c r="P145" s="335" t="str">
        <f t="shared" si="46"/>
        <v>OK</v>
      </c>
      <c r="Q145" s="335" t="str">
        <f t="shared" si="46"/>
        <v>OK</v>
      </c>
      <c r="R145" s="335" t="str">
        <f t="shared" si="46"/>
        <v>OK</v>
      </c>
      <c r="S145" s="335" t="str">
        <f t="shared" si="46"/>
        <v>OK</v>
      </c>
      <c r="T145" s="335" t="str">
        <f t="shared" si="46"/>
        <v>OK</v>
      </c>
      <c r="U145" s="335" t="str">
        <f t="shared" si="46"/>
        <v>OK</v>
      </c>
      <c r="V145" s="335" t="str">
        <f t="shared" si="46"/>
        <v>OK</v>
      </c>
      <c r="W145" s="335" t="str">
        <f t="shared" si="46"/>
        <v>OK</v>
      </c>
      <c r="X145" s="335" t="str">
        <f t="shared" si="46"/>
        <v>OK</v>
      </c>
      <c r="Y145" s="335" t="str">
        <f t="shared" si="46"/>
        <v>OK</v>
      </c>
      <c r="Z145" s="335" t="str">
        <f t="shared" si="46"/>
        <v>OK</v>
      </c>
      <c r="AA145" s="335" t="str">
        <f t="shared" si="46"/>
        <v>OK</v>
      </c>
      <c r="AB145" s="335" t="str">
        <f t="shared" si="46"/>
        <v>OK</v>
      </c>
      <c r="AC145" s="335" t="str">
        <f t="shared" si="46"/>
        <v>OK</v>
      </c>
      <c r="AD145" s="335" t="str">
        <f t="shared" si="46"/>
        <v>OK</v>
      </c>
      <c r="AE145" s="335" t="str">
        <f t="shared" si="46"/>
        <v>OK</v>
      </c>
      <c r="AF145" s="335" t="str">
        <f t="shared" si="46"/>
        <v>OK</v>
      </c>
      <c r="AG145" s="335" t="str">
        <f t="shared" si="46"/>
        <v>OK</v>
      </c>
      <c r="AH145" s="335" t="str">
        <f t="shared" si="46"/>
        <v>OK</v>
      </c>
      <c r="AI145" s="335" t="str">
        <f t="shared" si="46"/>
        <v>OK</v>
      </c>
      <c r="AJ145" s="335" t="str">
        <f t="shared" si="46"/>
        <v>OK</v>
      </c>
      <c r="AK145" s="335" t="str">
        <f t="shared" si="46"/>
        <v>OK</v>
      </c>
      <c r="AL145" s="336" t="str">
        <f t="shared" si="46"/>
        <v>OK</v>
      </c>
    </row>
    <row r="146" spans="1:38" s="85" customFormat="1" outlineLevel="2">
      <c r="A146" s="375"/>
      <c r="B146" s="366"/>
      <c r="C146" s="367" t="s">
        <v>307</v>
      </c>
      <c r="D146" s="89" t="s">
        <v>358</v>
      </c>
      <c r="E146" s="407" t="s">
        <v>31</v>
      </c>
      <c r="F146" s="408" t="s">
        <v>31</v>
      </c>
      <c r="G146" s="408" t="s">
        <v>31</v>
      </c>
      <c r="H146" s="409" t="s">
        <v>31</v>
      </c>
      <c r="I146" s="342" t="str">
        <f t="shared" ref="I146:AL146" si="47">IF(I23&gt;=I24,"OK","BŁĄD")</f>
        <v>OK</v>
      </c>
      <c r="J146" s="335" t="str">
        <f t="shared" si="47"/>
        <v>OK</v>
      </c>
      <c r="K146" s="335" t="str">
        <f t="shared" si="47"/>
        <v>OK</v>
      </c>
      <c r="L146" s="335" t="str">
        <f t="shared" si="47"/>
        <v>OK</v>
      </c>
      <c r="M146" s="335" t="str">
        <f t="shared" si="47"/>
        <v>OK</v>
      </c>
      <c r="N146" s="335" t="str">
        <f t="shared" si="47"/>
        <v>OK</v>
      </c>
      <c r="O146" s="335" t="str">
        <f t="shared" si="47"/>
        <v>OK</v>
      </c>
      <c r="P146" s="335" t="str">
        <f t="shared" si="47"/>
        <v>OK</v>
      </c>
      <c r="Q146" s="335" t="str">
        <f t="shared" si="47"/>
        <v>OK</v>
      </c>
      <c r="R146" s="335" t="str">
        <f t="shared" si="47"/>
        <v>OK</v>
      </c>
      <c r="S146" s="335" t="str">
        <f t="shared" si="47"/>
        <v>OK</v>
      </c>
      <c r="T146" s="335" t="str">
        <f t="shared" si="47"/>
        <v>OK</v>
      </c>
      <c r="U146" s="335" t="str">
        <f t="shared" si="47"/>
        <v>OK</v>
      </c>
      <c r="V146" s="335" t="str">
        <f t="shared" si="47"/>
        <v>OK</v>
      </c>
      <c r="W146" s="335" t="str">
        <f t="shared" si="47"/>
        <v>OK</v>
      </c>
      <c r="X146" s="335" t="str">
        <f t="shared" si="47"/>
        <v>OK</v>
      </c>
      <c r="Y146" s="335" t="str">
        <f t="shared" si="47"/>
        <v>OK</v>
      </c>
      <c r="Z146" s="335" t="str">
        <f t="shared" si="47"/>
        <v>OK</v>
      </c>
      <c r="AA146" s="335" t="str">
        <f t="shared" si="47"/>
        <v>OK</v>
      </c>
      <c r="AB146" s="335" t="str">
        <f t="shared" si="47"/>
        <v>OK</v>
      </c>
      <c r="AC146" s="335" t="str">
        <f t="shared" si="47"/>
        <v>OK</v>
      </c>
      <c r="AD146" s="335" t="str">
        <f t="shared" si="47"/>
        <v>OK</v>
      </c>
      <c r="AE146" s="335" t="str">
        <f t="shared" si="47"/>
        <v>OK</v>
      </c>
      <c r="AF146" s="335" t="str">
        <f t="shared" si="47"/>
        <v>OK</v>
      </c>
      <c r="AG146" s="335" t="str">
        <f t="shared" si="47"/>
        <v>OK</v>
      </c>
      <c r="AH146" s="335" t="str">
        <f t="shared" si="47"/>
        <v>OK</v>
      </c>
      <c r="AI146" s="335" t="str">
        <f t="shared" si="47"/>
        <v>OK</v>
      </c>
      <c r="AJ146" s="335" t="str">
        <f t="shared" si="47"/>
        <v>OK</v>
      </c>
      <c r="AK146" s="335" t="str">
        <f t="shared" si="47"/>
        <v>OK</v>
      </c>
      <c r="AL146" s="336" t="str">
        <f t="shared" si="47"/>
        <v>OK</v>
      </c>
    </row>
    <row r="147" spans="1:38" s="85" customFormat="1" outlineLevel="2">
      <c r="A147" s="375"/>
      <c r="B147" s="366"/>
      <c r="C147" s="367" t="s">
        <v>306</v>
      </c>
      <c r="D147" s="89" t="s">
        <v>357</v>
      </c>
      <c r="E147" s="407" t="s">
        <v>31</v>
      </c>
      <c r="F147" s="408" t="s">
        <v>31</v>
      </c>
      <c r="G147" s="408" t="s">
        <v>31</v>
      </c>
      <c r="H147" s="409" t="s">
        <v>31</v>
      </c>
      <c r="I147" s="342" t="str">
        <f t="shared" ref="I147:AL147" si="48">IF(I23&gt;=I103,"OK","BŁĄD")</f>
        <v>OK</v>
      </c>
      <c r="J147" s="335" t="str">
        <f t="shared" si="48"/>
        <v>OK</v>
      </c>
      <c r="K147" s="335" t="str">
        <f t="shared" si="48"/>
        <v>OK</v>
      </c>
      <c r="L147" s="335" t="str">
        <f t="shared" si="48"/>
        <v>OK</v>
      </c>
      <c r="M147" s="335" t="str">
        <f t="shared" si="48"/>
        <v>OK</v>
      </c>
      <c r="N147" s="335" t="str">
        <f t="shared" si="48"/>
        <v>OK</v>
      </c>
      <c r="O147" s="335" t="str">
        <f t="shared" si="48"/>
        <v>OK</v>
      </c>
      <c r="P147" s="335" t="str">
        <f t="shared" si="48"/>
        <v>OK</v>
      </c>
      <c r="Q147" s="335" t="str">
        <f t="shared" si="48"/>
        <v>OK</v>
      </c>
      <c r="R147" s="335" t="str">
        <f t="shared" si="48"/>
        <v>OK</v>
      </c>
      <c r="S147" s="335" t="str">
        <f t="shared" si="48"/>
        <v>OK</v>
      </c>
      <c r="T147" s="335" t="str">
        <f t="shared" si="48"/>
        <v>OK</v>
      </c>
      <c r="U147" s="335" t="str">
        <f t="shared" si="48"/>
        <v>OK</v>
      </c>
      <c r="V147" s="335" t="str">
        <f t="shared" si="48"/>
        <v>OK</v>
      </c>
      <c r="W147" s="335" t="str">
        <f t="shared" si="48"/>
        <v>OK</v>
      </c>
      <c r="X147" s="335" t="str">
        <f t="shared" si="48"/>
        <v>OK</v>
      </c>
      <c r="Y147" s="335" t="str">
        <f t="shared" si="48"/>
        <v>OK</v>
      </c>
      <c r="Z147" s="335" t="str">
        <f t="shared" si="48"/>
        <v>OK</v>
      </c>
      <c r="AA147" s="335" t="str">
        <f t="shared" si="48"/>
        <v>OK</v>
      </c>
      <c r="AB147" s="335" t="str">
        <f t="shared" si="48"/>
        <v>OK</v>
      </c>
      <c r="AC147" s="335" t="str">
        <f t="shared" si="48"/>
        <v>OK</v>
      </c>
      <c r="AD147" s="335" t="str">
        <f t="shared" si="48"/>
        <v>OK</v>
      </c>
      <c r="AE147" s="335" t="str">
        <f t="shared" si="48"/>
        <v>OK</v>
      </c>
      <c r="AF147" s="335" t="str">
        <f t="shared" si="48"/>
        <v>OK</v>
      </c>
      <c r="AG147" s="335" t="str">
        <f t="shared" si="48"/>
        <v>OK</v>
      </c>
      <c r="AH147" s="335" t="str">
        <f t="shared" si="48"/>
        <v>OK</v>
      </c>
      <c r="AI147" s="335" t="str">
        <f t="shared" si="48"/>
        <v>OK</v>
      </c>
      <c r="AJ147" s="335" t="str">
        <f t="shared" si="48"/>
        <v>OK</v>
      </c>
      <c r="AK147" s="335" t="str">
        <f t="shared" si="48"/>
        <v>OK</v>
      </c>
      <c r="AL147" s="336" t="str">
        <f t="shared" si="48"/>
        <v>OK</v>
      </c>
    </row>
    <row r="148" spans="1:38" s="85" customFormat="1" outlineLevel="2">
      <c r="A148" s="375"/>
      <c r="B148" s="366"/>
      <c r="C148" s="367" t="s">
        <v>308</v>
      </c>
      <c r="D148" s="89" t="s">
        <v>359</v>
      </c>
      <c r="E148" s="407" t="s">
        <v>31</v>
      </c>
      <c r="F148" s="408" t="s">
        <v>31</v>
      </c>
      <c r="G148" s="408" t="s">
        <v>31</v>
      </c>
      <c r="H148" s="409" t="s">
        <v>31</v>
      </c>
      <c r="I148" s="342" t="str">
        <f t="shared" ref="I148:AL148" si="49">IF(I26&gt;=I27,"OK","BŁĄD")</f>
        <v>OK</v>
      </c>
      <c r="J148" s="335" t="str">
        <f t="shared" si="49"/>
        <v>OK</v>
      </c>
      <c r="K148" s="335" t="str">
        <f t="shared" si="49"/>
        <v>OK</v>
      </c>
      <c r="L148" s="335" t="str">
        <f t="shared" si="49"/>
        <v>OK</v>
      </c>
      <c r="M148" s="335" t="str">
        <f t="shared" si="49"/>
        <v>OK</v>
      </c>
      <c r="N148" s="335" t="str">
        <f t="shared" si="49"/>
        <v>OK</v>
      </c>
      <c r="O148" s="335" t="str">
        <f t="shared" si="49"/>
        <v>OK</v>
      </c>
      <c r="P148" s="335" t="str">
        <f t="shared" si="49"/>
        <v>OK</v>
      </c>
      <c r="Q148" s="335" t="str">
        <f t="shared" si="49"/>
        <v>OK</v>
      </c>
      <c r="R148" s="335" t="str">
        <f t="shared" si="49"/>
        <v>OK</v>
      </c>
      <c r="S148" s="335" t="str">
        <f t="shared" si="49"/>
        <v>OK</v>
      </c>
      <c r="T148" s="335" t="str">
        <f t="shared" si="49"/>
        <v>OK</v>
      </c>
      <c r="U148" s="335" t="str">
        <f t="shared" si="49"/>
        <v>OK</v>
      </c>
      <c r="V148" s="335" t="str">
        <f t="shared" si="49"/>
        <v>OK</v>
      </c>
      <c r="W148" s="335" t="str">
        <f t="shared" si="49"/>
        <v>OK</v>
      </c>
      <c r="X148" s="335" t="str">
        <f t="shared" si="49"/>
        <v>OK</v>
      </c>
      <c r="Y148" s="335" t="str">
        <f t="shared" si="49"/>
        <v>OK</v>
      </c>
      <c r="Z148" s="335" t="str">
        <f t="shared" si="49"/>
        <v>OK</v>
      </c>
      <c r="AA148" s="335" t="str">
        <f t="shared" si="49"/>
        <v>OK</v>
      </c>
      <c r="AB148" s="335" t="str">
        <f t="shared" si="49"/>
        <v>OK</v>
      </c>
      <c r="AC148" s="335" t="str">
        <f t="shared" si="49"/>
        <v>OK</v>
      </c>
      <c r="AD148" s="335" t="str">
        <f t="shared" si="49"/>
        <v>OK</v>
      </c>
      <c r="AE148" s="335" t="str">
        <f t="shared" si="49"/>
        <v>OK</v>
      </c>
      <c r="AF148" s="335" t="str">
        <f t="shared" si="49"/>
        <v>OK</v>
      </c>
      <c r="AG148" s="335" t="str">
        <f t="shared" si="49"/>
        <v>OK</v>
      </c>
      <c r="AH148" s="335" t="str">
        <f t="shared" si="49"/>
        <v>OK</v>
      </c>
      <c r="AI148" s="335" t="str">
        <f t="shared" si="49"/>
        <v>OK</v>
      </c>
      <c r="AJ148" s="335" t="str">
        <f t="shared" si="49"/>
        <v>OK</v>
      </c>
      <c r="AK148" s="335" t="str">
        <f t="shared" si="49"/>
        <v>OK</v>
      </c>
      <c r="AL148" s="336" t="str">
        <f t="shared" si="49"/>
        <v>OK</v>
      </c>
    </row>
    <row r="149" spans="1:38" s="85" customFormat="1" outlineLevel="2">
      <c r="A149" s="375"/>
      <c r="B149" s="366"/>
      <c r="C149" s="367" t="s">
        <v>309</v>
      </c>
      <c r="D149" s="89" t="s">
        <v>360</v>
      </c>
      <c r="E149" s="407" t="s">
        <v>31</v>
      </c>
      <c r="F149" s="408" t="s">
        <v>31</v>
      </c>
      <c r="G149" s="408" t="s">
        <v>31</v>
      </c>
      <c r="H149" s="409" t="s">
        <v>31</v>
      </c>
      <c r="I149" s="342" t="str">
        <f t="shared" ref="I149:AL149" si="50">IF(I22&gt;=(I23+I25+I26),"OK","BŁĄD")</f>
        <v>OK</v>
      </c>
      <c r="J149" s="335" t="str">
        <f t="shared" si="50"/>
        <v>OK</v>
      </c>
      <c r="K149" s="335" t="str">
        <f t="shared" si="50"/>
        <v>OK</v>
      </c>
      <c r="L149" s="335" t="str">
        <f t="shared" si="50"/>
        <v>OK</v>
      </c>
      <c r="M149" s="335" t="str">
        <f t="shared" si="50"/>
        <v>OK</v>
      </c>
      <c r="N149" s="335" t="str">
        <f t="shared" si="50"/>
        <v>OK</v>
      </c>
      <c r="O149" s="335" t="str">
        <f t="shared" si="50"/>
        <v>OK</v>
      </c>
      <c r="P149" s="335" t="str">
        <f t="shared" si="50"/>
        <v>OK</v>
      </c>
      <c r="Q149" s="335" t="str">
        <f t="shared" si="50"/>
        <v>OK</v>
      </c>
      <c r="R149" s="335" t="str">
        <f t="shared" si="50"/>
        <v>OK</v>
      </c>
      <c r="S149" s="335" t="str">
        <f t="shared" si="50"/>
        <v>OK</v>
      </c>
      <c r="T149" s="335" t="str">
        <f t="shared" si="50"/>
        <v>OK</v>
      </c>
      <c r="U149" s="335" t="str">
        <f t="shared" si="50"/>
        <v>OK</v>
      </c>
      <c r="V149" s="335" t="str">
        <f t="shared" si="50"/>
        <v>OK</v>
      </c>
      <c r="W149" s="335" t="str">
        <f t="shared" si="50"/>
        <v>OK</v>
      </c>
      <c r="X149" s="335" t="str">
        <f t="shared" si="50"/>
        <v>OK</v>
      </c>
      <c r="Y149" s="335" t="str">
        <f t="shared" si="50"/>
        <v>OK</v>
      </c>
      <c r="Z149" s="335" t="str">
        <f t="shared" si="50"/>
        <v>OK</v>
      </c>
      <c r="AA149" s="335" t="str">
        <f t="shared" si="50"/>
        <v>OK</v>
      </c>
      <c r="AB149" s="335" t="str">
        <f t="shared" si="50"/>
        <v>OK</v>
      </c>
      <c r="AC149" s="335" t="str">
        <f t="shared" si="50"/>
        <v>OK</v>
      </c>
      <c r="AD149" s="335" t="str">
        <f t="shared" si="50"/>
        <v>OK</v>
      </c>
      <c r="AE149" s="335" t="str">
        <f t="shared" si="50"/>
        <v>OK</v>
      </c>
      <c r="AF149" s="335" t="str">
        <f t="shared" si="50"/>
        <v>OK</v>
      </c>
      <c r="AG149" s="335" t="str">
        <f t="shared" si="50"/>
        <v>OK</v>
      </c>
      <c r="AH149" s="335" t="str">
        <f t="shared" si="50"/>
        <v>OK</v>
      </c>
      <c r="AI149" s="335" t="str">
        <f t="shared" si="50"/>
        <v>OK</v>
      </c>
      <c r="AJ149" s="335" t="str">
        <f t="shared" si="50"/>
        <v>OK</v>
      </c>
      <c r="AK149" s="335" t="str">
        <f t="shared" si="50"/>
        <v>OK</v>
      </c>
      <c r="AL149" s="336" t="str">
        <f t="shared" si="50"/>
        <v>OK</v>
      </c>
    </row>
    <row r="150" spans="1:38" s="85" customFormat="1" outlineLevel="2">
      <c r="A150" s="375"/>
      <c r="B150" s="366"/>
      <c r="C150" s="367" t="s">
        <v>310</v>
      </c>
      <c r="D150" s="89" t="s">
        <v>361</v>
      </c>
      <c r="E150" s="407" t="s">
        <v>31</v>
      </c>
      <c r="F150" s="408" t="s">
        <v>31</v>
      </c>
      <c r="G150" s="408" t="s">
        <v>31</v>
      </c>
      <c r="H150" s="409" t="s">
        <v>31</v>
      </c>
      <c r="I150" s="342" t="str">
        <f t="shared" ref="I150:AL150" si="51">IF(I22&gt;=I68,"OK","BŁĄD")</f>
        <v>OK</v>
      </c>
      <c r="J150" s="335" t="str">
        <f t="shared" si="51"/>
        <v>OK</v>
      </c>
      <c r="K150" s="335" t="str">
        <f t="shared" si="51"/>
        <v>OK</v>
      </c>
      <c r="L150" s="335" t="str">
        <f t="shared" si="51"/>
        <v>OK</v>
      </c>
      <c r="M150" s="335" t="str">
        <f t="shared" si="51"/>
        <v>OK</v>
      </c>
      <c r="N150" s="335" t="str">
        <f t="shared" si="51"/>
        <v>OK</v>
      </c>
      <c r="O150" s="335" t="str">
        <f t="shared" si="51"/>
        <v>OK</v>
      </c>
      <c r="P150" s="335" t="str">
        <f t="shared" si="51"/>
        <v>OK</v>
      </c>
      <c r="Q150" s="335" t="str">
        <f t="shared" si="51"/>
        <v>OK</v>
      </c>
      <c r="R150" s="335" t="str">
        <f t="shared" si="51"/>
        <v>OK</v>
      </c>
      <c r="S150" s="335" t="str">
        <f t="shared" si="51"/>
        <v>OK</v>
      </c>
      <c r="T150" s="335" t="str">
        <f t="shared" si="51"/>
        <v>OK</v>
      </c>
      <c r="U150" s="335" t="str">
        <f t="shared" si="51"/>
        <v>OK</v>
      </c>
      <c r="V150" s="335" t="str">
        <f t="shared" si="51"/>
        <v>OK</v>
      </c>
      <c r="W150" s="335" t="str">
        <f t="shared" si="51"/>
        <v>OK</v>
      </c>
      <c r="X150" s="335" t="str">
        <f t="shared" si="51"/>
        <v>OK</v>
      </c>
      <c r="Y150" s="335" t="str">
        <f t="shared" si="51"/>
        <v>OK</v>
      </c>
      <c r="Z150" s="335" t="str">
        <f t="shared" si="51"/>
        <v>OK</v>
      </c>
      <c r="AA150" s="335" t="str">
        <f t="shared" si="51"/>
        <v>OK</v>
      </c>
      <c r="AB150" s="335" t="str">
        <f t="shared" si="51"/>
        <v>OK</v>
      </c>
      <c r="AC150" s="335" t="str">
        <f t="shared" si="51"/>
        <v>OK</v>
      </c>
      <c r="AD150" s="335" t="str">
        <f t="shared" si="51"/>
        <v>OK</v>
      </c>
      <c r="AE150" s="335" t="str">
        <f t="shared" si="51"/>
        <v>OK</v>
      </c>
      <c r="AF150" s="335" t="str">
        <f t="shared" si="51"/>
        <v>OK</v>
      </c>
      <c r="AG150" s="335" t="str">
        <f t="shared" si="51"/>
        <v>OK</v>
      </c>
      <c r="AH150" s="335" t="str">
        <f t="shared" si="51"/>
        <v>OK</v>
      </c>
      <c r="AI150" s="335" t="str">
        <f t="shared" si="51"/>
        <v>OK</v>
      </c>
      <c r="AJ150" s="335" t="str">
        <f t="shared" si="51"/>
        <v>OK</v>
      </c>
      <c r="AK150" s="335" t="str">
        <f t="shared" si="51"/>
        <v>OK</v>
      </c>
      <c r="AL150" s="336" t="str">
        <f t="shared" si="51"/>
        <v>OK</v>
      </c>
    </row>
    <row r="151" spans="1:38" s="85" customFormat="1" outlineLevel="2">
      <c r="A151" s="375"/>
      <c r="B151" s="366"/>
      <c r="C151" s="367" t="s">
        <v>311</v>
      </c>
      <c r="D151" s="89" t="s">
        <v>362</v>
      </c>
      <c r="E151" s="407" t="s">
        <v>31</v>
      </c>
      <c r="F151" s="408" t="s">
        <v>31</v>
      </c>
      <c r="G151" s="408" t="s">
        <v>31</v>
      </c>
      <c r="H151" s="409" t="s">
        <v>31</v>
      </c>
      <c r="I151" s="342" t="str">
        <f t="shared" ref="I151:AL151" si="52">IF(I22&gt;=I71,"OK","BŁĄD")</f>
        <v>OK</v>
      </c>
      <c r="J151" s="335" t="str">
        <f t="shared" si="52"/>
        <v>OK</v>
      </c>
      <c r="K151" s="335" t="str">
        <f t="shared" si="52"/>
        <v>OK</v>
      </c>
      <c r="L151" s="335" t="str">
        <f t="shared" si="52"/>
        <v>OK</v>
      </c>
      <c r="M151" s="335" t="str">
        <f t="shared" si="52"/>
        <v>OK</v>
      </c>
      <c r="N151" s="335" t="str">
        <f t="shared" si="52"/>
        <v>OK</v>
      </c>
      <c r="O151" s="335" t="str">
        <f t="shared" si="52"/>
        <v>OK</v>
      </c>
      <c r="P151" s="335" t="str">
        <f t="shared" si="52"/>
        <v>OK</v>
      </c>
      <c r="Q151" s="335" t="str">
        <f t="shared" si="52"/>
        <v>OK</v>
      </c>
      <c r="R151" s="335" t="str">
        <f t="shared" si="52"/>
        <v>OK</v>
      </c>
      <c r="S151" s="335" t="str">
        <f t="shared" si="52"/>
        <v>OK</v>
      </c>
      <c r="T151" s="335" t="str">
        <f t="shared" si="52"/>
        <v>OK</v>
      </c>
      <c r="U151" s="335" t="str">
        <f t="shared" si="52"/>
        <v>OK</v>
      </c>
      <c r="V151" s="335" t="str">
        <f t="shared" si="52"/>
        <v>OK</v>
      </c>
      <c r="W151" s="335" t="str">
        <f t="shared" si="52"/>
        <v>OK</v>
      </c>
      <c r="X151" s="335" t="str">
        <f t="shared" si="52"/>
        <v>OK</v>
      </c>
      <c r="Y151" s="335" t="str">
        <f t="shared" si="52"/>
        <v>OK</v>
      </c>
      <c r="Z151" s="335" t="str">
        <f t="shared" si="52"/>
        <v>OK</v>
      </c>
      <c r="AA151" s="335" t="str">
        <f t="shared" si="52"/>
        <v>OK</v>
      </c>
      <c r="AB151" s="335" t="str">
        <f t="shared" si="52"/>
        <v>OK</v>
      </c>
      <c r="AC151" s="335" t="str">
        <f t="shared" si="52"/>
        <v>OK</v>
      </c>
      <c r="AD151" s="335" t="str">
        <f t="shared" si="52"/>
        <v>OK</v>
      </c>
      <c r="AE151" s="335" t="str">
        <f t="shared" si="52"/>
        <v>OK</v>
      </c>
      <c r="AF151" s="335" t="str">
        <f t="shared" si="52"/>
        <v>OK</v>
      </c>
      <c r="AG151" s="335" t="str">
        <f t="shared" si="52"/>
        <v>OK</v>
      </c>
      <c r="AH151" s="335" t="str">
        <f t="shared" si="52"/>
        <v>OK</v>
      </c>
      <c r="AI151" s="335" t="str">
        <f t="shared" si="52"/>
        <v>OK</v>
      </c>
      <c r="AJ151" s="335" t="str">
        <f t="shared" si="52"/>
        <v>OK</v>
      </c>
      <c r="AK151" s="335" t="str">
        <f t="shared" si="52"/>
        <v>OK</v>
      </c>
      <c r="AL151" s="336" t="str">
        <f t="shared" si="52"/>
        <v>OK</v>
      </c>
    </row>
    <row r="152" spans="1:38" s="85" customFormat="1" outlineLevel="2">
      <c r="A152" s="375"/>
      <c r="B152" s="366"/>
      <c r="C152" s="367" t="s">
        <v>312</v>
      </c>
      <c r="D152" s="89" t="s">
        <v>363</v>
      </c>
      <c r="E152" s="407" t="s">
        <v>31</v>
      </c>
      <c r="F152" s="408" t="s">
        <v>31</v>
      </c>
      <c r="G152" s="408" t="s">
        <v>31</v>
      </c>
      <c r="H152" s="409" t="s">
        <v>31</v>
      </c>
      <c r="I152" s="342" t="str">
        <f t="shared" ref="I152:AL152" si="53">IF(I22&gt;=I83,"OK","BŁĄD")</f>
        <v>OK</v>
      </c>
      <c r="J152" s="335" t="str">
        <f t="shared" si="53"/>
        <v>OK</v>
      </c>
      <c r="K152" s="335" t="str">
        <f t="shared" si="53"/>
        <v>OK</v>
      </c>
      <c r="L152" s="335" t="str">
        <f t="shared" si="53"/>
        <v>OK</v>
      </c>
      <c r="M152" s="335" t="str">
        <f t="shared" si="53"/>
        <v>OK</v>
      </c>
      <c r="N152" s="335" t="str">
        <f t="shared" si="53"/>
        <v>OK</v>
      </c>
      <c r="O152" s="335" t="str">
        <f t="shared" si="53"/>
        <v>OK</v>
      </c>
      <c r="P152" s="335" t="str">
        <f t="shared" si="53"/>
        <v>OK</v>
      </c>
      <c r="Q152" s="335" t="str">
        <f t="shared" si="53"/>
        <v>OK</v>
      </c>
      <c r="R152" s="335" t="str">
        <f t="shared" si="53"/>
        <v>OK</v>
      </c>
      <c r="S152" s="335" t="str">
        <f t="shared" si="53"/>
        <v>OK</v>
      </c>
      <c r="T152" s="335" t="str">
        <f t="shared" si="53"/>
        <v>OK</v>
      </c>
      <c r="U152" s="335" t="str">
        <f t="shared" si="53"/>
        <v>OK</v>
      </c>
      <c r="V152" s="335" t="str">
        <f t="shared" si="53"/>
        <v>OK</v>
      </c>
      <c r="W152" s="335" t="str">
        <f t="shared" si="53"/>
        <v>OK</v>
      </c>
      <c r="X152" s="335" t="str">
        <f t="shared" si="53"/>
        <v>OK</v>
      </c>
      <c r="Y152" s="335" t="str">
        <f t="shared" si="53"/>
        <v>OK</v>
      </c>
      <c r="Z152" s="335" t="str">
        <f t="shared" si="53"/>
        <v>OK</v>
      </c>
      <c r="AA152" s="335" t="str">
        <f t="shared" si="53"/>
        <v>OK</v>
      </c>
      <c r="AB152" s="335" t="str">
        <f t="shared" si="53"/>
        <v>OK</v>
      </c>
      <c r="AC152" s="335" t="str">
        <f t="shared" si="53"/>
        <v>OK</v>
      </c>
      <c r="AD152" s="335" t="str">
        <f t="shared" si="53"/>
        <v>OK</v>
      </c>
      <c r="AE152" s="335" t="str">
        <f t="shared" si="53"/>
        <v>OK</v>
      </c>
      <c r="AF152" s="335" t="str">
        <f t="shared" si="53"/>
        <v>OK</v>
      </c>
      <c r="AG152" s="335" t="str">
        <f t="shared" si="53"/>
        <v>OK</v>
      </c>
      <c r="AH152" s="335" t="str">
        <f t="shared" si="53"/>
        <v>OK</v>
      </c>
      <c r="AI152" s="335" t="str">
        <f t="shared" si="53"/>
        <v>OK</v>
      </c>
      <c r="AJ152" s="335" t="str">
        <f t="shared" si="53"/>
        <v>OK</v>
      </c>
      <c r="AK152" s="335" t="str">
        <f t="shared" si="53"/>
        <v>OK</v>
      </c>
      <c r="AL152" s="336" t="str">
        <f t="shared" si="53"/>
        <v>OK</v>
      </c>
    </row>
    <row r="153" spans="1:38" s="85" customFormat="1" outlineLevel="2">
      <c r="A153" s="375"/>
      <c r="B153" s="366"/>
      <c r="C153" s="367" t="s">
        <v>313</v>
      </c>
      <c r="D153" s="89" t="s">
        <v>364</v>
      </c>
      <c r="E153" s="407" t="s">
        <v>31</v>
      </c>
      <c r="F153" s="408" t="s">
        <v>31</v>
      </c>
      <c r="G153" s="408" t="s">
        <v>31</v>
      </c>
      <c r="H153" s="409" t="s">
        <v>31</v>
      </c>
      <c r="I153" s="342" t="str">
        <f t="shared" ref="I153:AL153" si="54">IF(I22&gt;=I96,"OK","BŁĄD")</f>
        <v>OK</v>
      </c>
      <c r="J153" s="335" t="str">
        <f t="shared" si="54"/>
        <v>OK</v>
      </c>
      <c r="K153" s="335" t="str">
        <f t="shared" si="54"/>
        <v>OK</v>
      </c>
      <c r="L153" s="335" t="str">
        <f t="shared" si="54"/>
        <v>OK</v>
      </c>
      <c r="M153" s="335" t="str">
        <f t="shared" si="54"/>
        <v>OK</v>
      </c>
      <c r="N153" s="335" t="str">
        <f t="shared" si="54"/>
        <v>OK</v>
      </c>
      <c r="O153" s="335" t="str">
        <f t="shared" si="54"/>
        <v>OK</v>
      </c>
      <c r="P153" s="335" t="str">
        <f t="shared" si="54"/>
        <v>OK</v>
      </c>
      <c r="Q153" s="335" t="str">
        <f t="shared" si="54"/>
        <v>OK</v>
      </c>
      <c r="R153" s="335" t="str">
        <f t="shared" si="54"/>
        <v>OK</v>
      </c>
      <c r="S153" s="335" t="str">
        <f t="shared" si="54"/>
        <v>OK</v>
      </c>
      <c r="T153" s="335" t="str">
        <f t="shared" si="54"/>
        <v>OK</v>
      </c>
      <c r="U153" s="335" t="str">
        <f t="shared" si="54"/>
        <v>OK</v>
      </c>
      <c r="V153" s="335" t="str">
        <f t="shared" si="54"/>
        <v>OK</v>
      </c>
      <c r="W153" s="335" t="str">
        <f t="shared" si="54"/>
        <v>OK</v>
      </c>
      <c r="X153" s="335" t="str">
        <f t="shared" si="54"/>
        <v>OK</v>
      </c>
      <c r="Y153" s="335" t="str">
        <f t="shared" si="54"/>
        <v>OK</v>
      </c>
      <c r="Z153" s="335" t="str">
        <f t="shared" si="54"/>
        <v>OK</v>
      </c>
      <c r="AA153" s="335" t="str">
        <f t="shared" si="54"/>
        <v>OK</v>
      </c>
      <c r="AB153" s="335" t="str">
        <f t="shared" si="54"/>
        <v>OK</v>
      </c>
      <c r="AC153" s="335" t="str">
        <f t="shared" si="54"/>
        <v>OK</v>
      </c>
      <c r="AD153" s="335" t="str">
        <f t="shared" si="54"/>
        <v>OK</v>
      </c>
      <c r="AE153" s="335" t="str">
        <f t="shared" si="54"/>
        <v>OK</v>
      </c>
      <c r="AF153" s="335" t="str">
        <f t="shared" si="54"/>
        <v>OK</v>
      </c>
      <c r="AG153" s="335" t="str">
        <f t="shared" si="54"/>
        <v>OK</v>
      </c>
      <c r="AH153" s="335" t="str">
        <f t="shared" si="54"/>
        <v>OK</v>
      </c>
      <c r="AI153" s="335" t="str">
        <f t="shared" si="54"/>
        <v>OK</v>
      </c>
      <c r="AJ153" s="335" t="str">
        <f t="shared" si="54"/>
        <v>OK</v>
      </c>
      <c r="AK153" s="335" t="str">
        <f t="shared" si="54"/>
        <v>OK</v>
      </c>
      <c r="AL153" s="336" t="str">
        <f t="shared" si="54"/>
        <v>OK</v>
      </c>
    </row>
    <row r="154" spans="1:38" s="85" customFormat="1" outlineLevel="2">
      <c r="A154" s="375"/>
      <c r="B154" s="366"/>
      <c r="C154" s="367" t="s">
        <v>314</v>
      </c>
      <c r="D154" s="89" t="s">
        <v>365</v>
      </c>
      <c r="E154" s="407" t="s">
        <v>31</v>
      </c>
      <c r="F154" s="408" t="s">
        <v>31</v>
      </c>
      <c r="G154" s="408" t="s">
        <v>31</v>
      </c>
      <c r="H154" s="409" t="s">
        <v>31</v>
      </c>
      <c r="I154" s="342" t="str">
        <f t="shared" ref="I154:AL154" si="55">IF(I28&gt;=I72,"OK","BŁĄD")</f>
        <v>OK</v>
      </c>
      <c r="J154" s="335" t="str">
        <f t="shared" si="55"/>
        <v>OK</v>
      </c>
      <c r="K154" s="335" t="str">
        <f t="shared" si="55"/>
        <v>OK</v>
      </c>
      <c r="L154" s="335" t="str">
        <f t="shared" si="55"/>
        <v>OK</v>
      </c>
      <c r="M154" s="335" t="str">
        <f t="shared" si="55"/>
        <v>OK</v>
      </c>
      <c r="N154" s="335" t="str">
        <f t="shared" si="55"/>
        <v>OK</v>
      </c>
      <c r="O154" s="335" t="str">
        <f t="shared" si="55"/>
        <v>OK</v>
      </c>
      <c r="P154" s="335" t="str">
        <f t="shared" si="55"/>
        <v>OK</v>
      </c>
      <c r="Q154" s="335" t="str">
        <f t="shared" si="55"/>
        <v>OK</v>
      </c>
      <c r="R154" s="335" t="str">
        <f t="shared" si="55"/>
        <v>OK</v>
      </c>
      <c r="S154" s="335" t="str">
        <f t="shared" si="55"/>
        <v>OK</v>
      </c>
      <c r="T154" s="335" t="str">
        <f t="shared" si="55"/>
        <v>OK</v>
      </c>
      <c r="U154" s="335" t="str">
        <f t="shared" si="55"/>
        <v>OK</v>
      </c>
      <c r="V154" s="335" t="str">
        <f t="shared" si="55"/>
        <v>OK</v>
      </c>
      <c r="W154" s="335" t="str">
        <f t="shared" si="55"/>
        <v>OK</v>
      </c>
      <c r="X154" s="335" t="str">
        <f t="shared" si="55"/>
        <v>OK</v>
      </c>
      <c r="Y154" s="335" t="str">
        <f t="shared" si="55"/>
        <v>OK</v>
      </c>
      <c r="Z154" s="335" t="str">
        <f t="shared" si="55"/>
        <v>OK</v>
      </c>
      <c r="AA154" s="335" t="str">
        <f t="shared" si="55"/>
        <v>OK</v>
      </c>
      <c r="AB154" s="335" t="str">
        <f t="shared" si="55"/>
        <v>OK</v>
      </c>
      <c r="AC154" s="335" t="str">
        <f t="shared" si="55"/>
        <v>OK</v>
      </c>
      <c r="AD154" s="335" t="str">
        <f t="shared" si="55"/>
        <v>OK</v>
      </c>
      <c r="AE154" s="335" t="str">
        <f t="shared" si="55"/>
        <v>OK</v>
      </c>
      <c r="AF154" s="335" t="str">
        <f t="shared" si="55"/>
        <v>OK</v>
      </c>
      <c r="AG154" s="335" t="str">
        <f t="shared" si="55"/>
        <v>OK</v>
      </c>
      <c r="AH154" s="335" t="str">
        <f t="shared" si="55"/>
        <v>OK</v>
      </c>
      <c r="AI154" s="335" t="str">
        <f t="shared" si="55"/>
        <v>OK</v>
      </c>
      <c r="AJ154" s="335" t="str">
        <f t="shared" si="55"/>
        <v>OK</v>
      </c>
      <c r="AK154" s="335" t="str">
        <f t="shared" si="55"/>
        <v>OK</v>
      </c>
      <c r="AL154" s="336" t="str">
        <f t="shared" si="55"/>
        <v>OK</v>
      </c>
    </row>
    <row r="155" spans="1:38" s="85" customFormat="1" outlineLevel="2">
      <c r="A155" s="375"/>
      <c r="B155" s="366"/>
      <c r="C155" s="367" t="s">
        <v>315</v>
      </c>
      <c r="D155" s="89" t="s">
        <v>366</v>
      </c>
      <c r="E155" s="407" t="s">
        <v>31</v>
      </c>
      <c r="F155" s="408" t="s">
        <v>31</v>
      </c>
      <c r="G155" s="408" t="s">
        <v>31</v>
      </c>
      <c r="H155" s="409" t="s">
        <v>31</v>
      </c>
      <c r="I155" s="342" t="str">
        <f t="shared" ref="I155:AL155" si="56">IF(I28&gt;=I73+I74,"OK","BŁĄD")</f>
        <v>OK</v>
      </c>
      <c r="J155" s="335" t="str">
        <f t="shared" si="56"/>
        <v>OK</v>
      </c>
      <c r="K155" s="335" t="str">
        <f t="shared" si="56"/>
        <v>OK</v>
      </c>
      <c r="L155" s="335" t="str">
        <f t="shared" si="56"/>
        <v>OK</v>
      </c>
      <c r="M155" s="335" t="str">
        <f t="shared" si="56"/>
        <v>OK</v>
      </c>
      <c r="N155" s="335" t="str">
        <f t="shared" si="56"/>
        <v>OK</v>
      </c>
      <c r="O155" s="335" t="str">
        <f t="shared" si="56"/>
        <v>OK</v>
      </c>
      <c r="P155" s="335" t="str">
        <f t="shared" si="56"/>
        <v>OK</v>
      </c>
      <c r="Q155" s="335" t="str">
        <f t="shared" si="56"/>
        <v>OK</v>
      </c>
      <c r="R155" s="335" t="str">
        <f t="shared" si="56"/>
        <v>OK</v>
      </c>
      <c r="S155" s="335" t="str">
        <f t="shared" si="56"/>
        <v>OK</v>
      </c>
      <c r="T155" s="335" t="str">
        <f t="shared" si="56"/>
        <v>OK</v>
      </c>
      <c r="U155" s="335" t="str">
        <f t="shared" si="56"/>
        <v>OK</v>
      </c>
      <c r="V155" s="335" t="str">
        <f t="shared" si="56"/>
        <v>OK</v>
      </c>
      <c r="W155" s="335" t="str">
        <f t="shared" si="56"/>
        <v>OK</v>
      </c>
      <c r="X155" s="335" t="str">
        <f t="shared" si="56"/>
        <v>OK</v>
      </c>
      <c r="Y155" s="335" t="str">
        <f t="shared" si="56"/>
        <v>OK</v>
      </c>
      <c r="Z155" s="335" t="str">
        <f t="shared" si="56"/>
        <v>OK</v>
      </c>
      <c r="AA155" s="335" t="str">
        <f t="shared" si="56"/>
        <v>OK</v>
      </c>
      <c r="AB155" s="335" t="str">
        <f t="shared" si="56"/>
        <v>OK</v>
      </c>
      <c r="AC155" s="335" t="str">
        <f t="shared" si="56"/>
        <v>OK</v>
      </c>
      <c r="AD155" s="335" t="str">
        <f t="shared" si="56"/>
        <v>OK</v>
      </c>
      <c r="AE155" s="335" t="str">
        <f t="shared" si="56"/>
        <v>OK</v>
      </c>
      <c r="AF155" s="335" t="str">
        <f t="shared" si="56"/>
        <v>OK</v>
      </c>
      <c r="AG155" s="335" t="str">
        <f t="shared" si="56"/>
        <v>OK</v>
      </c>
      <c r="AH155" s="335" t="str">
        <f t="shared" si="56"/>
        <v>OK</v>
      </c>
      <c r="AI155" s="335" t="str">
        <f t="shared" si="56"/>
        <v>OK</v>
      </c>
      <c r="AJ155" s="335" t="str">
        <f t="shared" si="56"/>
        <v>OK</v>
      </c>
      <c r="AK155" s="335" t="str">
        <f t="shared" si="56"/>
        <v>OK</v>
      </c>
      <c r="AL155" s="336" t="str">
        <f t="shared" si="56"/>
        <v>OK</v>
      </c>
    </row>
    <row r="156" spans="1:38" s="85" customFormat="1" outlineLevel="2">
      <c r="A156" s="375"/>
      <c r="B156" s="366"/>
      <c r="C156" s="367" t="s">
        <v>316</v>
      </c>
      <c r="D156" s="89" t="s">
        <v>367</v>
      </c>
      <c r="E156" s="407" t="s">
        <v>31</v>
      </c>
      <c r="F156" s="408" t="s">
        <v>31</v>
      </c>
      <c r="G156" s="408" t="s">
        <v>31</v>
      </c>
      <c r="H156" s="409" t="s">
        <v>31</v>
      </c>
      <c r="I156" s="342" t="str">
        <f t="shared" ref="I156:AL156" si="57">IF(I28&gt;=I75,"OK","BŁĄD")</f>
        <v>OK</v>
      </c>
      <c r="J156" s="335" t="str">
        <f t="shared" si="57"/>
        <v>OK</v>
      </c>
      <c r="K156" s="335" t="str">
        <f t="shared" si="57"/>
        <v>OK</v>
      </c>
      <c r="L156" s="335" t="str">
        <f t="shared" si="57"/>
        <v>OK</v>
      </c>
      <c r="M156" s="335" t="str">
        <f t="shared" si="57"/>
        <v>OK</v>
      </c>
      <c r="N156" s="335" t="str">
        <f t="shared" si="57"/>
        <v>OK</v>
      </c>
      <c r="O156" s="335" t="str">
        <f t="shared" si="57"/>
        <v>OK</v>
      </c>
      <c r="P156" s="335" t="str">
        <f t="shared" si="57"/>
        <v>OK</v>
      </c>
      <c r="Q156" s="335" t="str">
        <f t="shared" si="57"/>
        <v>OK</v>
      </c>
      <c r="R156" s="335" t="str">
        <f t="shared" si="57"/>
        <v>OK</v>
      </c>
      <c r="S156" s="335" t="str">
        <f t="shared" si="57"/>
        <v>OK</v>
      </c>
      <c r="T156" s="335" t="str">
        <f t="shared" si="57"/>
        <v>OK</v>
      </c>
      <c r="U156" s="335" t="str">
        <f t="shared" si="57"/>
        <v>OK</v>
      </c>
      <c r="V156" s="335" t="str">
        <f t="shared" si="57"/>
        <v>OK</v>
      </c>
      <c r="W156" s="335" t="str">
        <f t="shared" si="57"/>
        <v>OK</v>
      </c>
      <c r="X156" s="335" t="str">
        <f t="shared" si="57"/>
        <v>OK</v>
      </c>
      <c r="Y156" s="335" t="str">
        <f t="shared" si="57"/>
        <v>OK</v>
      </c>
      <c r="Z156" s="335" t="str">
        <f t="shared" si="57"/>
        <v>OK</v>
      </c>
      <c r="AA156" s="335" t="str">
        <f t="shared" si="57"/>
        <v>OK</v>
      </c>
      <c r="AB156" s="335" t="str">
        <f t="shared" si="57"/>
        <v>OK</v>
      </c>
      <c r="AC156" s="335" t="str">
        <f t="shared" si="57"/>
        <v>OK</v>
      </c>
      <c r="AD156" s="335" t="str">
        <f t="shared" si="57"/>
        <v>OK</v>
      </c>
      <c r="AE156" s="335" t="str">
        <f t="shared" si="57"/>
        <v>OK</v>
      </c>
      <c r="AF156" s="335" t="str">
        <f t="shared" si="57"/>
        <v>OK</v>
      </c>
      <c r="AG156" s="335" t="str">
        <f t="shared" si="57"/>
        <v>OK</v>
      </c>
      <c r="AH156" s="335" t="str">
        <f t="shared" si="57"/>
        <v>OK</v>
      </c>
      <c r="AI156" s="335" t="str">
        <f t="shared" si="57"/>
        <v>OK</v>
      </c>
      <c r="AJ156" s="335" t="str">
        <f t="shared" si="57"/>
        <v>OK</v>
      </c>
      <c r="AK156" s="335" t="str">
        <f t="shared" si="57"/>
        <v>OK</v>
      </c>
      <c r="AL156" s="336" t="str">
        <f t="shared" si="57"/>
        <v>OK</v>
      </c>
    </row>
    <row r="157" spans="1:38" s="85" customFormat="1" outlineLevel="2">
      <c r="A157" s="375"/>
      <c r="B157" s="366"/>
      <c r="C157" s="367" t="s">
        <v>317</v>
      </c>
      <c r="D157" s="89" t="s">
        <v>368</v>
      </c>
      <c r="E157" s="407" t="s">
        <v>31</v>
      </c>
      <c r="F157" s="408" t="s">
        <v>31</v>
      </c>
      <c r="G157" s="408" t="s">
        <v>31</v>
      </c>
      <c r="H157" s="409" t="s">
        <v>31</v>
      </c>
      <c r="I157" s="342" t="str">
        <f t="shared" ref="I157:AL157" si="58">IF(I28&gt;=I86,"OK","BŁĄD")</f>
        <v>OK</v>
      </c>
      <c r="J157" s="335" t="str">
        <f t="shared" si="58"/>
        <v>OK</v>
      </c>
      <c r="K157" s="335" t="str">
        <f t="shared" si="58"/>
        <v>OK</v>
      </c>
      <c r="L157" s="335" t="str">
        <f t="shared" si="58"/>
        <v>OK</v>
      </c>
      <c r="M157" s="335" t="str">
        <f t="shared" si="58"/>
        <v>OK</v>
      </c>
      <c r="N157" s="335" t="str">
        <f t="shared" si="58"/>
        <v>OK</v>
      </c>
      <c r="O157" s="335" t="str">
        <f t="shared" si="58"/>
        <v>OK</v>
      </c>
      <c r="P157" s="335" t="str">
        <f t="shared" si="58"/>
        <v>OK</v>
      </c>
      <c r="Q157" s="335" t="str">
        <f t="shared" si="58"/>
        <v>OK</v>
      </c>
      <c r="R157" s="335" t="str">
        <f t="shared" si="58"/>
        <v>OK</v>
      </c>
      <c r="S157" s="335" t="str">
        <f t="shared" si="58"/>
        <v>OK</v>
      </c>
      <c r="T157" s="335" t="str">
        <f t="shared" si="58"/>
        <v>OK</v>
      </c>
      <c r="U157" s="335" t="str">
        <f t="shared" si="58"/>
        <v>OK</v>
      </c>
      <c r="V157" s="335" t="str">
        <f t="shared" si="58"/>
        <v>OK</v>
      </c>
      <c r="W157" s="335" t="str">
        <f t="shared" si="58"/>
        <v>OK</v>
      </c>
      <c r="X157" s="335" t="str">
        <f t="shared" si="58"/>
        <v>OK</v>
      </c>
      <c r="Y157" s="335" t="str">
        <f t="shared" si="58"/>
        <v>OK</v>
      </c>
      <c r="Z157" s="335" t="str">
        <f t="shared" si="58"/>
        <v>OK</v>
      </c>
      <c r="AA157" s="335" t="str">
        <f t="shared" si="58"/>
        <v>OK</v>
      </c>
      <c r="AB157" s="335" t="str">
        <f t="shared" si="58"/>
        <v>OK</v>
      </c>
      <c r="AC157" s="335" t="str">
        <f t="shared" si="58"/>
        <v>OK</v>
      </c>
      <c r="AD157" s="335" t="str">
        <f t="shared" si="58"/>
        <v>OK</v>
      </c>
      <c r="AE157" s="335" t="str">
        <f t="shared" si="58"/>
        <v>OK</v>
      </c>
      <c r="AF157" s="335" t="str">
        <f t="shared" si="58"/>
        <v>OK</v>
      </c>
      <c r="AG157" s="335" t="str">
        <f t="shared" si="58"/>
        <v>OK</v>
      </c>
      <c r="AH157" s="335" t="str">
        <f t="shared" si="58"/>
        <v>OK</v>
      </c>
      <c r="AI157" s="335" t="str">
        <f t="shared" si="58"/>
        <v>OK</v>
      </c>
      <c r="AJ157" s="335" t="str">
        <f t="shared" si="58"/>
        <v>OK</v>
      </c>
      <c r="AK157" s="335" t="str">
        <f t="shared" si="58"/>
        <v>OK</v>
      </c>
      <c r="AL157" s="336" t="str">
        <f t="shared" si="58"/>
        <v>OK</v>
      </c>
    </row>
    <row r="158" spans="1:38" s="85" customFormat="1" outlineLevel="2">
      <c r="A158" s="375"/>
      <c r="B158" s="366"/>
      <c r="C158" s="367" t="s">
        <v>318</v>
      </c>
      <c r="D158" s="89" t="s">
        <v>369</v>
      </c>
      <c r="E158" s="407" t="s">
        <v>31</v>
      </c>
      <c r="F158" s="408" t="s">
        <v>31</v>
      </c>
      <c r="G158" s="408" t="s">
        <v>31</v>
      </c>
      <c r="H158" s="409" t="s">
        <v>31</v>
      </c>
      <c r="I158" s="342" t="str">
        <f t="shared" ref="I158:AL158" si="59">IF(I31&gt;=I32,"OK","BŁĄD")</f>
        <v>OK</v>
      </c>
      <c r="J158" s="335" t="str">
        <f t="shared" si="59"/>
        <v>OK</v>
      </c>
      <c r="K158" s="335" t="str">
        <f t="shared" si="59"/>
        <v>OK</v>
      </c>
      <c r="L158" s="335" t="str">
        <f t="shared" si="59"/>
        <v>OK</v>
      </c>
      <c r="M158" s="335" t="str">
        <f t="shared" si="59"/>
        <v>OK</v>
      </c>
      <c r="N158" s="335" t="str">
        <f t="shared" si="59"/>
        <v>OK</v>
      </c>
      <c r="O158" s="335" t="str">
        <f t="shared" si="59"/>
        <v>OK</v>
      </c>
      <c r="P158" s="335" t="str">
        <f t="shared" si="59"/>
        <v>OK</v>
      </c>
      <c r="Q158" s="335" t="str">
        <f t="shared" si="59"/>
        <v>OK</v>
      </c>
      <c r="R158" s="335" t="str">
        <f t="shared" si="59"/>
        <v>OK</v>
      </c>
      <c r="S158" s="335" t="str">
        <f t="shared" si="59"/>
        <v>OK</v>
      </c>
      <c r="T158" s="335" t="str">
        <f t="shared" si="59"/>
        <v>OK</v>
      </c>
      <c r="U158" s="335" t="str">
        <f t="shared" si="59"/>
        <v>OK</v>
      </c>
      <c r="V158" s="335" t="str">
        <f t="shared" si="59"/>
        <v>OK</v>
      </c>
      <c r="W158" s="335" t="str">
        <f t="shared" si="59"/>
        <v>OK</v>
      </c>
      <c r="X158" s="335" t="str">
        <f t="shared" si="59"/>
        <v>OK</v>
      </c>
      <c r="Y158" s="335" t="str">
        <f t="shared" si="59"/>
        <v>OK</v>
      </c>
      <c r="Z158" s="335" t="str">
        <f t="shared" si="59"/>
        <v>OK</v>
      </c>
      <c r="AA158" s="335" t="str">
        <f t="shared" si="59"/>
        <v>OK</v>
      </c>
      <c r="AB158" s="335" t="str">
        <f t="shared" si="59"/>
        <v>OK</v>
      </c>
      <c r="AC158" s="335" t="str">
        <f t="shared" si="59"/>
        <v>OK</v>
      </c>
      <c r="AD158" s="335" t="str">
        <f t="shared" si="59"/>
        <v>OK</v>
      </c>
      <c r="AE158" s="335" t="str">
        <f t="shared" si="59"/>
        <v>OK</v>
      </c>
      <c r="AF158" s="335" t="str">
        <f t="shared" si="59"/>
        <v>OK</v>
      </c>
      <c r="AG158" s="335" t="str">
        <f t="shared" si="59"/>
        <v>OK</v>
      </c>
      <c r="AH158" s="335" t="str">
        <f t="shared" si="59"/>
        <v>OK</v>
      </c>
      <c r="AI158" s="335" t="str">
        <f t="shared" si="59"/>
        <v>OK</v>
      </c>
      <c r="AJ158" s="335" t="str">
        <f t="shared" si="59"/>
        <v>OK</v>
      </c>
      <c r="AK158" s="335" t="str">
        <f t="shared" si="59"/>
        <v>OK</v>
      </c>
      <c r="AL158" s="336" t="str">
        <f t="shared" si="59"/>
        <v>OK</v>
      </c>
    </row>
    <row r="159" spans="1:38" s="85" customFormat="1" outlineLevel="2">
      <c r="A159" s="375"/>
      <c r="B159" s="366"/>
      <c r="C159" s="367" t="s">
        <v>319</v>
      </c>
      <c r="D159" s="89" t="s">
        <v>370</v>
      </c>
      <c r="E159" s="407" t="s">
        <v>31</v>
      </c>
      <c r="F159" s="408" t="s">
        <v>31</v>
      </c>
      <c r="G159" s="408" t="s">
        <v>31</v>
      </c>
      <c r="H159" s="409" t="s">
        <v>31</v>
      </c>
      <c r="I159" s="342" t="str">
        <f t="shared" ref="I159:AL159" si="60">IF(I33&gt;=I34,"OK","BŁĄD")</f>
        <v>OK</v>
      </c>
      <c r="J159" s="335" t="str">
        <f t="shared" si="60"/>
        <v>OK</v>
      </c>
      <c r="K159" s="335" t="str">
        <f t="shared" si="60"/>
        <v>OK</v>
      </c>
      <c r="L159" s="335" t="str">
        <f t="shared" si="60"/>
        <v>OK</v>
      </c>
      <c r="M159" s="335" t="str">
        <f t="shared" si="60"/>
        <v>OK</v>
      </c>
      <c r="N159" s="335" t="str">
        <f t="shared" si="60"/>
        <v>OK</v>
      </c>
      <c r="O159" s="335" t="str">
        <f t="shared" si="60"/>
        <v>OK</v>
      </c>
      <c r="P159" s="335" t="str">
        <f t="shared" si="60"/>
        <v>OK</v>
      </c>
      <c r="Q159" s="335" t="str">
        <f t="shared" si="60"/>
        <v>OK</v>
      </c>
      <c r="R159" s="335" t="str">
        <f t="shared" si="60"/>
        <v>OK</v>
      </c>
      <c r="S159" s="335" t="str">
        <f t="shared" si="60"/>
        <v>OK</v>
      </c>
      <c r="T159" s="335" t="str">
        <f t="shared" si="60"/>
        <v>OK</v>
      </c>
      <c r="U159" s="335" t="str">
        <f t="shared" si="60"/>
        <v>OK</v>
      </c>
      <c r="V159" s="335" t="str">
        <f t="shared" si="60"/>
        <v>OK</v>
      </c>
      <c r="W159" s="335" t="str">
        <f t="shared" si="60"/>
        <v>OK</v>
      </c>
      <c r="X159" s="335" t="str">
        <f t="shared" si="60"/>
        <v>OK</v>
      </c>
      <c r="Y159" s="335" t="str">
        <f t="shared" si="60"/>
        <v>OK</v>
      </c>
      <c r="Z159" s="335" t="str">
        <f t="shared" si="60"/>
        <v>OK</v>
      </c>
      <c r="AA159" s="335" t="str">
        <f t="shared" si="60"/>
        <v>OK</v>
      </c>
      <c r="AB159" s="335" t="str">
        <f t="shared" si="60"/>
        <v>OK</v>
      </c>
      <c r="AC159" s="335" t="str">
        <f t="shared" si="60"/>
        <v>OK</v>
      </c>
      <c r="AD159" s="335" t="str">
        <f t="shared" si="60"/>
        <v>OK</v>
      </c>
      <c r="AE159" s="335" t="str">
        <f t="shared" si="60"/>
        <v>OK</v>
      </c>
      <c r="AF159" s="335" t="str">
        <f t="shared" si="60"/>
        <v>OK</v>
      </c>
      <c r="AG159" s="335" t="str">
        <f t="shared" si="60"/>
        <v>OK</v>
      </c>
      <c r="AH159" s="335" t="str">
        <f t="shared" si="60"/>
        <v>OK</v>
      </c>
      <c r="AI159" s="335" t="str">
        <f t="shared" si="60"/>
        <v>OK</v>
      </c>
      <c r="AJ159" s="335" t="str">
        <f t="shared" si="60"/>
        <v>OK</v>
      </c>
      <c r="AK159" s="335" t="str">
        <f t="shared" si="60"/>
        <v>OK</v>
      </c>
      <c r="AL159" s="336" t="str">
        <f t="shared" si="60"/>
        <v>OK</v>
      </c>
    </row>
    <row r="160" spans="1:38" s="85" customFormat="1" outlineLevel="2">
      <c r="A160" s="375"/>
      <c r="B160" s="366"/>
      <c r="C160" s="367" t="s">
        <v>320</v>
      </c>
      <c r="D160" s="89" t="s">
        <v>371</v>
      </c>
      <c r="E160" s="407" t="s">
        <v>31</v>
      </c>
      <c r="F160" s="408" t="s">
        <v>31</v>
      </c>
      <c r="G160" s="408" t="s">
        <v>31</v>
      </c>
      <c r="H160" s="409" t="s">
        <v>31</v>
      </c>
      <c r="I160" s="342" t="str">
        <f t="shared" ref="I160:AL160" si="61">IF(I35&gt;=I36,"OK","BŁĄD")</f>
        <v>OK</v>
      </c>
      <c r="J160" s="335" t="str">
        <f t="shared" si="61"/>
        <v>OK</v>
      </c>
      <c r="K160" s="335" t="str">
        <f t="shared" si="61"/>
        <v>OK</v>
      </c>
      <c r="L160" s="335" t="str">
        <f t="shared" si="61"/>
        <v>OK</v>
      </c>
      <c r="M160" s="335" t="str">
        <f t="shared" si="61"/>
        <v>OK</v>
      </c>
      <c r="N160" s="335" t="str">
        <f t="shared" si="61"/>
        <v>OK</v>
      </c>
      <c r="O160" s="335" t="str">
        <f t="shared" si="61"/>
        <v>OK</v>
      </c>
      <c r="P160" s="335" t="str">
        <f t="shared" si="61"/>
        <v>OK</v>
      </c>
      <c r="Q160" s="335" t="str">
        <f t="shared" si="61"/>
        <v>OK</v>
      </c>
      <c r="R160" s="335" t="str">
        <f t="shared" si="61"/>
        <v>OK</v>
      </c>
      <c r="S160" s="335" t="str">
        <f t="shared" si="61"/>
        <v>OK</v>
      </c>
      <c r="T160" s="335" t="str">
        <f t="shared" si="61"/>
        <v>OK</v>
      </c>
      <c r="U160" s="335" t="str">
        <f t="shared" si="61"/>
        <v>OK</v>
      </c>
      <c r="V160" s="335" t="str">
        <f t="shared" si="61"/>
        <v>OK</v>
      </c>
      <c r="W160" s="335" t="str">
        <f t="shared" si="61"/>
        <v>OK</v>
      </c>
      <c r="X160" s="335" t="str">
        <f t="shared" si="61"/>
        <v>OK</v>
      </c>
      <c r="Y160" s="335" t="str">
        <f t="shared" si="61"/>
        <v>OK</v>
      </c>
      <c r="Z160" s="335" t="str">
        <f t="shared" si="61"/>
        <v>OK</v>
      </c>
      <c r="AA160" s="335" t="str">
        <f t="shared" si="61"/>
        <v>OK</v>
      </c>
      <c r="AB160" s="335" t="str">
        <f t="shared" si="61"/>
        <v>OK</v>
      </c>
      <c r="AC160" s="335" t="str">
        <f t="shared" si="61"/>
        <v>OK</v>
      </c>
      <c r="AD160" s="335" t="str">
        <f t="shared" si="61"/>
        <v>OK</v>
      </c>
      <c r="AE160" s="335" t="str">
        <f t="shared" si="61"/>
        <v>OK</v>
      </c>
      <c r="AF160" s="335" t="str">
        <f t="shared" si="61"/>
        <v>OK</v>
      </c>
      <c r="AG160" s="335" t="str">
        <f t="shared" si="61"/>
        <v>OK</v>
      </c>
      <c r="AH160" s="335" t="str">
        <f t="shared" si="61"/>
        <v>OK</v>
      </c>
      <c r="AI160" s="335" t="str">
        <f t="shared" si="61"/>
        <v>OK</v>
      </c>
      <c r="AJ160" s="335" t="str">
        <f t="shared" si="61"/>
        <v>OK</v>
      </c>
      <c r="AK160" s="335" t="str">
        <f t="shared" si="61"/>
        <v>OK</v>
      </c>
      <c r="AL160" s="336" t="str">
        <f t="shared" si="61"/>
        <v>OK</v>
      </c>
    </row>
    <row r="161" spans="1:39" s="85" customFormat="1" outlineLevel="2">
      <c r="A161" s="375"/>
      <c r="B161" s="366"/>
      <c r="C161" s="367" t="s">
        <v>321</v>
      </c>
      <c r="D161" s="89" t="s">
        <v>372</v>
      </c>
      <c r="E161" s="407" t="s">
        <v>31</v>
      </c>
      <c r="F161" s="408" t="s">
        <v>31</v>
      </c>
      <c r="G161" s="408" t="s">
        <v>31</v>
      </c>
      <c r="H161" s="409" t="s">
        <v>31</v>
      </c>
      <c r="I161" s="342" t="str">
        <f t="shared" ref="I161:AL161" si="62">IF(I37&gt;=I38,"OK","BŁĄD")</f>
        <v>OK</v>
      </c>
      <c r="J161" s="335" t="str">
        <f t="shared" si="62"/>
        <v>OK</v>
      </c>
      <c r="K161" s="335" t="str">
        <f t="shared" si="62"/>
        <v>OK</v>
      </c>
      <c r="L161" s="335" t="str">
        <f t="shared" si="62"/>
        <v>OK</v>
      </c>
      <c r="M161" s="335" t="str">
        <f t="shared" si="62"/>
        <v>OK</v>
      </c>
      <c r="N161" s="335" t="str">
        <f t="shared" si="62"/>
        <v>OK</v>
      </c>
      <c r="O161" s="335" t="str">
        <f t="shared" si="62"/>
        <v>OK</v>
      </c>
      <c r="P161" s="335" t="str">
        <f t="shared" si="62"/>
        <v>OK</v>
      </c>
      <c r="Q161" s="335" t="str">
        <f t="shared" si="62"/>
        <v>OK</v>
      </c>
      <c r="R161" s="335" t="str">
        <f t="shared" si="62"/>
        <v>OK</v>
      </c>
      <c r="S161" s="335" t="str">
        <f t="shared" si="62"/>
        <v>OK</v>
      </c>
      <c r="T161" s="335" t="str">
        <f t="shared" si="62"/>
        <v>OK</v>
      </c>
      <c r="U161" s="335" t="str">
        <f t="shared" si="62"/>
        <v>OK</v>
      </c>
      <c r="V161" s="335" t="str">
        <f t="shared" si="62"/>
        <v>OK</v>
      </c>
      <c r="W161" s="335" t="str">
        <f t="shared" si="62"/>
        <v>OK</v>
      </c>
      <c r="X161" s="335" t="str">
        <f t="shared" si="62"/>
        <v>OK</v>
      </c>
      <c r="Y161" s="335" t="str">
        <f t="shared" si="62"/>
        <v>OK</v>
      </c>
      <c r="Z161" s="335" t="str">
        <f t="shared" si="62"/>
        <v>OK</v>
      </c>
      <c r="AA161" s="335" t="str">
        <f t="shared" si="62"/>
        <v>OK</v>
      </c>
      <c r="AB161" s="335" t="str">
        <f t="shared" si="62"/>
        <v>OK</v>
      </c>
      <c r="AC161" s="335" t="str">
        <f t="shared" si="62"/>
        <v>OK</v>
      </c>
      <c r="AD161" s="335" t="str">
        <f t="shared" si="62"/>
        <v>OK</v>
      </c>
      <c r="AE161" s="335" t="str">
        <f t="shared" si="62"/>
        <v>OK</v>
      </c>
      <c r="AF161" s="335" t="str">
        <f t="shared" si="62"/>
        <v>OK</v>
      </c>
      <c r="AG161" s="335" t="str">
        <f t="shared" si="62"/>
        <v>OK</v>
      </c>
      <c r="AH161" s="335" t="str">
        <f t="shared" si="62"/>
        <v>OK</v>
      </c>
      <c r="AI161" s="335" t="str">
        <f t="shared" si="62"/>
        <v>OK</v>
      </c>
      <c r="AJ161" s="335" t="str">
        <f t="shared" si="62"/>
        <v>OK</v>
      </c>
      <c r="AK161" s="335" t="str">
        <f t="shared" si="62"/>
        <v>OK</v>
      </c>
      <c r="AL161" s="336" t="str">
        <f t="shared" si="62"/>
        <v>OK</v>
      </c>
    </row>
    <row r="162" spans="1:39" s="85" customFormat="1" outlineLevel="2">
      <c r="A162" s="375"/>
      <c r="B162" s="366"/>
      <c r="C162" s="367" t="s">
        <v>325</v>
      </c>
      <c r="D162" s="89" t="s">
        <v>376</v>
      </c>
      <c r="E162" s="407" t="s">
        <v>31</v>
      </c>
      <c r="F162" s="408" t="s">
        <v>31</v>
      </c>
      <c r="G162" s="408" t="s">
        <v>31</v>
      </c>
      <c r="H162" s="409" t="s">
        <v>31</v>
      </c>
      <c r="I162" s="342" t="str">
        <f t="shared" ref="I162:AL163" si="63">IF(I40&gt;=I41,"OK","BŁĄD")</f>
        <v>OK</v>
      </c>
      <c r="J162" s="335" t="str">
        <f t="shared" si="63"/>
        <v>OK</v>
      </c>
      <c r="K162" s="335" t="str">
        <f t="shared" si="63"/>
        <v>OK</v>
      </c>
      <c r="L162" s="335" t="str">
        <f t="shared" si="63"/>
        <v>OK</v>
      </c>
      <c r="M162" s="335" t="str">
        <f t="shared" si="63"/>
        <v>OK</v>
      </c>
      <c r="N162" s="335" t="str">
        <f t="shared" si="63"/>
        <v>OK</v>
      </c>
      <c r="O162" s="335" t="str">
        <f t="shared" si="63"/>
        <v>OK</v>
      </c>
      <c r="P162" s="335" t="str">
        <f t="shared" si="63"/>
        <v>OK</v>
      </c>
      <c r="Q162" s="335" t="str">
        <f t="shared" si="63"/>
        <v>OK</v>
      </c>
      <c r="R162" s="335" t="str">
        <f t="shared" si="63"/>
        <v>OK</v>
      </c>
      <c r="S162" s="335" t="str">
        <f t="shared" si="63"/>
        <v>OK</v>
      </c>
      <c r="T162" s="335" t="str">
        <f t="shared" si="63"/>
        <v>OK</v>
      </c>
      <c r="U162" s="335" t="str">
        <f t="shared" si="63"/>
        <v>OK</v>
      </c>
      <c r="V162" s="335" t="str">
        <f t="shared" si="63"/>
        <v>OK</v>
      </c>
      <c r="W162" s="335" t="str">
        <f t="shared" si="63"/>
        <v>OK</v>
      </c>
      <c r="X162" s="335" t="str">
        <f t="shared" si="63"/>
        <v>OK</v>
      </c>
      <c r="Y162" s="335" t="str">
        <f t="shared" si="63"/>
        <v>OK</v>
      </c>
      <c r="Z162" s="335" t="str">
        <f t="shared" si="63"/>
        <v>OK</v>
      </c>
      <c r="AA162" s="335" t="str">
        <f t="shared" si="63"/>
        <v>OK</v>
      </c>
      <c r="AB162" s="335" t="str">
        <f t="shared" si="63"/>
        <v>OK</v>
      </c>
      <c r="AC162" s="335" t="str">
        <f t="shared" si="63"/>
        <v>OK</v>
      </c>
      <c r="AD162" s="335" t="str">
        <f t="shared" si="63"/>
        <v>OK</v>
      </c>
      <c r="AE162" s="335" t="str">
        <f t="shared" si="63"/>
        <v>OK</v>
      </c>
      <c r="AF162" s="335" t="str">
        <f t="shared" si="63"/>
        <v>OK</v>
      </c>
      <c r="AG162" s="335" t="str">
        <f t="shared" si="63"/>
        <v>OK</v>
      </c>
      <c r="AH162" s="335" t="str">
        <f t="shared" si="63"/>
        <v>OK</v>
      </c>
      <c r="AI162" s="335" t="str">
        <f t="shared" si="63"/>
        <v>OK</v>
      </c>
      <c r="AJ162" s="335" t="str">
        <f t="shared" si="63"/>
        <v>OK</v>
      </c>
      <c r="AK162" s="335" t="str">
        <f t="shared" si="63"/>
        <v>OK</v>
      </c>
      <c r="AL162" s="336" t="str">
        <f t="shared" si="63"/>
        <v>OK</v>
      </c>
    </row>
    <row r="163" spans="1:39" s="85" customFormat="1" outlineLevel="2">
      <c r="A163" s="375"/>
      <c r="B163" s="366"/>
      <c r="C163" s="367" t="s">
        <v>322</v>
      </c>
      <c r="D163" s="89" t="s">
        <v>373</v>
      </c>
      <c r="E163" s="407" t="s">
        <v>31</v>
      </c>
      <c r="F163" s="408" t="s">
        <v>31</v>
      </c>
      <c r="G163" s="408" t="s">
        <v>31</v>
      </c>
      <c r="H163" s="409" t="s">
        <v>31</v>
      </c>
      <c r="I163" s="342" t="str">
        <f t="shared" si="63"/>
        <v>OK</v>
      </c>
      <c r="J163" s="335" t="str">
        <f t="shared" si="63"/>
        <v>OK</v>
      </c>
      <c r="K163" s="335" t="str">
        <f t="shared" si="63"/>
        <v>OK</v>
      </c>
      <c r="L163" s="335" t="str">
        <f t="shared" si="63"/>
        <v>OK</v>
      </c>
      <c r="M163" s="335" t="str">
        <f t="shared" si="63"/>
        <v>OK</v>
      </c>
      <c r="N163" s="335" t="str">
        <f t="shared" si="63"/>
        <v>OK</v>
      </c>
      <c r="O163" s="335" t="str">
        <f t="shared" si="63"/>
        <v>OK</v>
      </c>
      <c r="P163" s="335" t="str">
        <f t="shared" si="63"/>
        <v>OK</v>
      </c>
      <c r="Q163" s="335" t="str">
        <f t="shared" si="63"/>
        <v>OK</v>
      </c>
      <c r="R163" s="335" t="str">
        <f t="shared" si="63"/>
        <v>OK</v>
      </c>
      <c r="S163" s="335" t="str">
        <f t="shared" si="63"/>
        <v>OK</v>
      </c>
      <c r="T163" s="335" t="str">
        <f t="shared" si="63"/>
        <v>OK</v>
      </c>
      <c r="U163" s="335" t="str">
        <f t="shared" si="63"/>
        <v>OK</v>
      </c>
      <c r="V163" s="335" t="str">
        <f t="shared" si="63"/>
        <v>OK</v>
      </c>
      <c r="W163" s="335" t="str">
        <f t="shared" si="63"/>
        <v>OK</v>
      </c>
      <c r="X163" s="335" t="str">
        <f t="shared" si="63"/>
        <v>OK</v>
      </c>
      <c r="Y163" s="335" t="str">
        <f t="shared" si="63"/>
        <v>OK</v>
      </c>
      <c r="Z163" s="335" t="str">
        <f t="shared" si="63"/>
        <v>OK</v>
      </c>
      <c r="AA163" s="335" t="str">
        <f t="shared" si="63"/>
        <v>OK</v>
      </c>
      <c r="AB163" s="335" t="str">
        <f t="shared" si="63"/>
        <v>OK</v>
      </c>
      <c r="AC163" s="335" t="str">
        <f t="shared" si="63"/>
        <v>OK</v>
      </c>
      <c r="AD163" s="335" t="str">
        <f t="shared" si="63"/>
        <v>OK</v>
      </c>
      <c r="AE163" s="335" t="str">
        <f t="shared" si="63"/>
        <v>OK</v>
      </c>
      <c r="AF163" s="335" t="str">
        <f t="shared" si="63"/>
        <v>OK</v>
      </c>
      <c r="AG163" s="335" t="str">
        <f t="shared" si="63"/>
        <v>OK</v>
      </c>
      <c r="AH163" s="335" t="str">
        <f t="shared" si="63"/>
        <v>OK</v>
      </c>
      <c r="AI163" s="335" t="str">
        <f t="shared" si="63"/>
        <v>OK</v>
      </c>
      <c r="AJ163" s="335" t="str">
        <f t="shared" si="63"/>
        <v>OK</v>
      </c>
      <c r="AK163" s="335" t="str">
        <f t="shared" si="63"/>
        <v>OK</v>
      </c>
      <c r="AL163" s="336" t="str">
        <f t="shared" si="63"/>
        <v>OK</v>
      </c>
    </row>
    <row r="164" spans="1:39" s="85" customFormat="1" outlineLevel="2">
      <c r="A164" s="375"/>
      <c r="B164" s="366"/>
      <c r="C164" s="367" t="s">
        <v>323</v>
      </c>
      <c r="D164" s="89" t="s">
        <v>374</v>
      </c>
      <c r="E164" s="407" t="s">
        <v>31</v>
      </c>
      <c r="F164" s="408" t="s">
        <v>31</v>
      </c>
      <c r="G164" s="408" t="s">
        <v>31</v>
      </c>
      <c r="H164" s="409" t="s">
        <v>31</v>
      </c>
      <c r="I164" s="342" t="str">
        <f t="shared" ref="I164:AL164" si="64">IF(I40&gt;=I66,"OK","BŁĄD")</f>
        <v>OK</v>
      </c>
      <c r="J164" s="335" t="str">
        <f t="shared" si="64"/>
        <v>OK</v>
      </c>
      <c r="K164" s="335" t="str">
        <f t="shared" si="64"/>
        <v>OK</v>
      </c>
      <c r="L164" s="335" t="str">
        <f t="shared" si="64"/>
        <v>OK</v>
      </c>
      <c r="M164" s="335" t="str">
        <f t="shared" si="64"/>
        <v>OK</v>
      </c>
      <c r="N164" s="335" t="str">
        <f t="shared" si="64"/>
        <v>OK</v>
      </c>
      <c r="O164" s="335" t="str">
        <f t="shared" si="64"/>
        <v>OK</v>
      </c>
      <c r="P164" s="335" t="str">
        <f t="shared" si="64"/>
        <v>OK</v>
      </c>
      <c r="Q164" s="335" t="str">
        <f t="shared" si="64"/>
        <v>OK</v>
      </c>
      <c r="R164" s="335" t="str">
        <f t="shared" si="64"/>
        <v>OK</v>
      </c>
      <c r="S164" s="335" t="str">
        <f t="shared" si="64"/>
        <v>OK</v>
      </c>
      <c r="T164" s="335" t="str">
        <f t="shared" si="64"/>
        <v>OK</v>
      </c>
      <c r="U164" s="335" t="str">
        <f t="shared" si="64"/>
        <v>OK</v>
      </c>
      <c r="V164" s="335" t="str">
        <f t="shared" si="64"/>
        <v>OK</v>
      </c>
      <c r="W164" s="335" t="str">
        <f t="shared" si="64"/>
        <v>OK</v>
      </c>
      <c r="X164" s="335" t="str">
        <f t="shared" si="64"/>
        <v>OK</v>
      </c>
      <c r="Y164" s="335" t="str">
        <f t="shared" si="64"/>
        <v>OK</v>
      </c>
      <c r="Z164" s="335" t="str">
        <f t="shared" si="64"/>
        <v>OK</v>
      </c>
      <c r="AA164" s="335" t="str">
        <f t="shared" si="64"/>
        <v>OK</v>
      </c>
      <c r="AB164" s="335" t="str">
        <f t="shared" si="64"/>
        <v>OK</v>
      </c>
      <c r="AC164" s="335" t="str">
        <f t="shared" si="64"/>
        <v>OK</v>
      </c>
      <c r="AD164" s="335" t="str">
        <f t="shared" si="64"/>
        <v>OK</v>
      </c>
      <c r="AE164" s="335" t="str">
        <f t="shared" si="64"/>
        <v>OK</v>
      </c>
      <c r="AF164" s="335" t="str">
        <f t="shared" si="64"/>
        <v>OK</v>
      </c>
      <c r="AG164" s="335" t="str">
        <f t="shared" si="64"/>
        <v>OK</v>
      </c>
      <c r="AH164" s="335" t="str">
        <f t="shared" si="64"/>
        <v>OK</v>
      </c>
      <c r="AI164" s="335" t="str">
        <f t="shared" si="64"/>
        <v>OK</v>
      </c>
      <c r="AJ164" s="335" t="str">
        <f t="shared" si="64"/>
        <v>OK</v>
      </c>
      <c r="AK164" s="335" t="str">
        <f t="shared" si="64"/>
        <v>OK</v>
      </c>
      <c r="AL164" s="336" t="str">
        <f t="shared" si="64"/>
        <v>OK</v>
      </c>
    </row>
    <row r="165" spans="1:39" s="85" customFormat="1" outlineLevel="2">
      <c r="A165" s="375"/>
      <c r="B165" s="366"/>
      <c r="C165" s="367" t="s">
        <v>324</v>
      </c>
      <c r="D165" s="89" t="s">
        <v>375</v>
      </c>
      <c r="E165" s="407" t="s">
        <v>31</v>
      </c>
      <c r="F165" s="408" t="s">
        <v>31</v>
      </c>
      <c r="G165" s="408" t="s">
        <v>31</v>
      </c>
      <c r="H165" s="409" t="s">
        <v>31</v>
      </c>
      <c r="I165" s="342" t="str">
        <f t="shared" ref="I165:AL165" si="65">IF(I40&gt;=I98,"OK","BŁĄD")</f>
        <v>OK</v>
      </c>
      <c r="J165" s="335" t="str">
        <f t="shared" si="65"/>
        <v>OK</v>
      </c>
      <c r="K165" s="335" t="str">
        <f t="shared" si="65"/>
        <v>OK</v>
      </c>
      <c r="L165" s="335" t="str">
        <f t="shared" si="65"/>
        <v>OK</v>
      </c>
      <c r="M165" s="335" t="str">
        <f t="shared" si="65"/>
        <v>OK</v>
      </c>
      <c r="N165" s="335" t="str">
        <f t="shared" si="65"/>
        <v>OK</v>
      </c>
      <c r="O165" s="335" t="str">
        <f t="shared" si="65"/>
        <v>OK</v>
      </c>
      <c r="P165" s="335" t="str">
        <f t="shared" si="65"/>
        <v>OK</v>
      </c>
      <c r="Q165" s="335" t="str">
        <f t="shared" si="65"/>
        <v>OK</v>
      </c>
      <c r="R165" s="335" t="str">
        <f t="shared" si="65"/>
        <v>OK</v>
      </c>
      <c r="S165" s="335" t="str">
        <f t="shared" si="65"/>
        <v>OK</v>
      </c>
      <c r="T165" s="335" t="str">
        <f t="shared" si="65"/>
        <v>OK</v>
      </c>
      <c r="U165" s="335" t="str">
        <f t="shared" si="65"/>
        <v>OK</v>
      </c>
      <c r="V165" s="335" t="str">
        <f t="shared" si="65"/>
        <v>OK</v>
      </c>
      <c r="W165" s="335" t="str">
        <f t="shared" si="65"/>
        <v>OK</v>
      </c>
      <c r="X165" s="335" t="str">
        <f t="shared" si="65"/>
        <v>OK</v>
      </c>
      <c r="Y165" s="335" t="str">
        <f t="shared" si="65"/>
        <v>OK</v>
      </c>
      <c r="Z165" s="335" t="str">
        <f t="shared" si="65"/>
        <v>OK</v>
      </c>
      <c r="AA165" s="335" t="str">
        <f t="shared" si="65"/>
        <v>OK</v>
      </c>
      <c r="AB165" s="335" t="str">
        <f t="shared" si="65"/>
        <v>OK</v>
      </c>
      <c r="AC165" s="335" t="str">
        <f t="shared" si="65"/>
        <v>OK</v>
      </c>
      <c r="AD165" s="335" t="str">
        <f t="shared" si="65"/>
        <v>OK</v>
      </c>
      <c r="AE165" s="335" t="str">
        <f t="shared" si="65"/>
        <v>OK</v>
      </c>
      <c r="AF165" s="335" t="str">
        <f t="shared" si="65"/>
        <v>OK</v>
      </c>
      <c r="AG165" s="335" t="str">
        <f t="shared" si="65"/>
        <v>OK</v>
      </c>
      <c r="AH165" s="335" t="str">
        <f t="shared" si="65"/>
        <v>OK</v>
      </c>
      <c r="AI165" s="335" t="str">
        <f t="shared" si="65"/>
        <v>OK</v>
      </c>
      <c r="AJ165" s="335" t="str">
        <f t="shared" si="65"/>
        <v>OK</v>
      </c>
      <c r="AK165" s="335" t="str">
        <f t="shared" si="65"/>
        <v>OK</v>
      </c>
      <c r="AL165" s="336" t="str">
        <f t="shared" si="65"/>
        <v>OK</v>
      </c>
    </row>
    <row r="166" spans="1:39" s="85" customFormat="1" outlineLevel="2">
      <c r="A166" s="375"/>
      <c r="B166" s="366"/>
      <c r="C166" s="367" t="s">
        <v>328</v>
      </c>
      <c r="D166" s="89" t="s">
        <v>379</v>
      </c>
      <c r="E166" s="407" t="s">
        <v>31</v>
      </c>
      <c r="F166" s="408" t="s">
        <v>31</v>
      </c>
      <c r="G166" s="408" t="s">
        <v>31</v>
      </c>
      <c r="H166" s="409" t="s">
        <v>31</v>
      </c>
      <c r="I166" s="342" t="str">
        <f t="shared" ref="I166:AL166" si="66">IF(I44&gt;=I45,"OK","BŁĄD")</f>
        <v>OK</v>
      </c>
      <c r="J166" s="335" t="str">
        <f t="shared" si="66"/>
        <v>OK</v>
      </c>
      <c r="K166" s="335" t="str">
        <f t="shared" si="66"/>
        <v>OK</v>
      </c>
      <c r="L166" s="335" t="str">
        <f t="shared" si="66"/>
        <v>OK</v>
      </c>
      <c r="M166" s="335" t="str">
        <f t="shared" si="66"/>
        <v>OK</v>
      </c>
      <c r="N166" s="335" t="str">
        <f t="shared" si="66"/>
        <v>OK</v>
      </c>
      <c r="O166" s="335" t="str">
        <f t="shared" si="66"/>
        <v>OK</v>
      </c>
      <c r="P166" s="335" t="str">
        <f t="shared" si="66"/>
        <v>OK</v>
      </c>
      <c r="Q166" s="335" t="str">
        <f t="shared" si="66"/>
        <v>OK</v>
      </c>
      <c r="R166" s="335" t="str">
        <f t="shared" si="66"/>
        <v>OK</v>
      </c>
      <c r="S166" s="335" t="str">
        <f t="shared" si="66"/>
        <v>OK</v>
      </c>
      <c r="T166" s="335" t="str">
        <f t="shared" si="66"/>
        <v>OK</v>
      </c>
      <c r="U166" s="335" t="str">
        <f t="shared" si="66"/>
        <v>OK</v>
      </c>
      <c r="V166" s="335" t="str">
        <f t="shared" si="66"/>
        <v>OK</v>
      </c>
      <c r="W166" s="335" t="str">
        <f t="shared" si="66"/>
        <v>OK</v>
      </c>
      <c r="X166" s="335" t="str">
        <f t="shared" si="66"/>
        <v>OK</v>
      </c>
      <c r="Y166" s="335" t="str">
        <f t="shared" si="66"/>
        <v>OK</v>
      </c>
      <c r="Z166" s="335" t="str">
        <f t="shared" si="66"/>
        <v>OK</v>
      </c>
      <c r="AA166" s="335" t="str">
        <f t="shared" si="66"/>
        <v>OK</v>
      </c>
      <c r="AB166" s="335" t="str">
        <f t="shared" si="66"/>
        <v>OK</v>
      </c>
      <c r="AC166" s="335" t="str">
        <f t="shared" si="66"/>
        <v>OK</v>
      </c>
      <c r="AD166" s="335" t="str">
        <f t="shared" si="66"/>
        <v>OK</v>
      </c>
      <c r="AE166" s="335" t="str">
        <f t="shared" si="66"/>
        <v>OK</v>
      </c>
      <c r="AF166" s="335" t="str">
        <f t="shared" si="66"/>
        <v>OK</v>
      </c>
      <c r="AG166" s="335" t="str">
        <f t="shared" si="66"/>
        <v>OK</v>
      </c>
      <c r="AH166" s="335" t="str">
        <f t="shared" si="66"/>
        <v>OK</v>
      </c>
      <c r="AI166" s="335" t="str">
        <f t="shared" si="66"/>
        <v>OK</v>
      </c>
      <c r="AJ166" s="335" t="str">
        <f t="shared" si="66"/>
        <v>OK</v>
      </c>
      <c r="AK166" s="335" t="str">
        <f t="shared" si="66"/>
        <v>OK</v>
      </c>
      <c r="AL166" s="336" t="str">
        <f t="shared" si="66"/>
        <v>OK</v>
      </c>
    </row>
    <row r="167" spans="1:39" s="85" customFormat="1" outlineLevel="2">
      <c r="A167" s="375"/>
      <c r="B167" s="366"/>
      <c r="C167" s="367" t="s">
        <v>329</v>
      </c>
      <c r="D167" s="89" t="s">
        <v>380</v>
      </c>
      <c r="E167" s="407" t="s">
        <v>31</v>
      </c>
      <c r="F167" s="408" t="s">
        <v>31</v>
      </c>
      <c r="G167" s="408" t="s">
        <v>31</v>
      </c>
      <c r="H167" s="409" t="s">
        <v>31</v>
      </c>
      <c r="I167" s="342" t="str">
        <f t="shared" ref="I167:AL167" si="67">IF(I44&gt;=I49,"OK","BŁĄD")</f>
        <v>OK</v>
      </c>
      <c r="J167" s="335" t="str">
        <f t="shared" si="67"/>
        <v>OK</v>
      </c>
      <c r="K167" s="335" t="str">
        <f t="shared" si="67"/>
        <v>OK</v>
      </c>
      <c r="L167" s="335" t="str">
        <f t="shared" si="67"/>
        <v>OK</v>
      </c>
      <c r="M167" s="335" t="str">
        <f t="shared" si="67"/>
        <v>OK</v>
      </c>
      <c r="N167" s="335" t="str">
        <f t="shared" si="67"/>
        <v>OK</v>
      </c>
      <c r="O167" s="335" t="str">
        <f t="shared" si="67"/>
        <v>OK</v>
      </c>
      <c r="P167" s="335" t="str">
        <f t="shared" si="67"/>
        <v>OK</v>
      </c>
      <c r="Q167" s="335" t="str">
        <f t="shared" si="67"/>
        <v>OK</v>
      </c>
      <c r="R167" s="335" t="str">
        <f t="shared" si="67"/>
        <v>OK</v>
      </c>
      <c r="S167" s="335" t="str">
        <f t="shared" si="67"/>
        <v>OK</v>
      </c>
      <c r="T167" s="335" t="str">
        <f t="shared" si="67"/>
        <v>OK</v>
      </c>
      <c r="U167" s="335" t="str">
        <f t="shared" si="67"/>
        <v>OK</v>
      </c>
      <c r="V167" s="335" t="str">
        <f t="shared" si="67"/>
        <v>OK</v>
      </c>
      <c r="W167" s="335" t="str">
        <f t="shared" si="67"/>
        <v>OK</v>
      </c>
      <c r="X167" s="335" t="str">
        <f t="shared" si="67"/>
        <v>OK</v>
      </c>
      <c r="Y167" s="335" t="str">
        <f t="shared" si="67"/>
        <v>OK</v>
      </c>
      <c r="Z167" s="335" t="str">
        <f t="shared" si="67"/>
        <v>OK</v>
      </c>
      <c r="AA167" s="335" t="str">
        <f t="shared" si="67"/>
        <v>OK</v>
      </c>
      <c r="AB167" s="335" t="str">
        <f t="shared" si="67"/>
        <v>OK</v>
      </c>
      <c r="AC167" s="335" t="str">
        <f t="shared" si="67"/>
        <v>OK</v>
      </c>
      <c r="AD167" s="335" t="str">
        <f t="shared" si="67"/>
        <v>OK</v>
      </c>
      <c r="AE167" s="335" t="str">
        <f t="shared" si="67"/>
        <v>OK</v>
      </c>
      <c r="AF167" s="335" t="str">
        <f t="shared" si="67"/>
        <v>OK</v>
      </c>
      <c r="AG167" s="335" t="str">
        <f t="shared" si="67"/>
        <v>OK</v>
      </c>
      <c r="AH167" s="335" t="str">
        <f t="shared" si="67"/>
        <v>OK</v>
      </c>
      <c r="AI167" s="335" t="str">
        <f t="shared" si="67"/>
        <v>OK</v>
      </c>
      <c r="AJ167" s="335" t="str">
        <f t="shared" si="67"/>
        <v>OK</v>
      </c>
      <c r="AK167" s="335" t="str">
        <f t="shared" si="67"/>
        <v>OK</v>
      </c>
      <c r="AL167" s="336" t="str">
        <f t="shared" si="67"/>
        <v>OK</v>
      </c>
    </row>
    <row r="168" spans="1:39" s="85" customFormat="1" outlineLevel="2">
      <c r="A168" s="375"/>
      <c r="B168" s="366"/>
      <c r="C168" s="367" t="s">
        <v>327</v>
      </c>
      <c r="D168" s="89" t="s">
        <v>378</v>
      </c>
      <c r="E168" s="407" t="s">
        <v>31</v>
      </c>
      <c r="F168" s="408" t="s">
        <v>31</v>
      </c>
      <c r="G168" s="408" t="s">
        <v>31</v>
      </c>
      <c r="H168" s="409" t="s">
        <v>31</v>
      </c>
      <c r="I168" s="342" t="str">
        <f t="shared" ref="I168:AL168" si="68">IF(I44&gt;=I99,"OK","BŁĄD")</f>
        <v>OK</v>
      </c>
      <c r="J168" s="335" t="str">
        <f t="shared" si="68"/>
        <v>OK</v>
      </c>
      <c r="K168" s="335" t="str">
        <f t="shared" si="68"/>
        <v>OK</v>
      </c>
      <c r="L168" s="335" t="str">
        <f t="shared" si="68"/>
        <v>OK</v>
      </c>
      <c r="M168" s="335" t="str">
        <f t="shared" si="68"/>
        <v>OK</v>
      </c>
      <c r="N168" s="335" t="str">
        <f t="shared" si="68"/>
        <v>OK</v>
      </c>
      <c r="O168" s="335" t="str">
        <f t="shared" si="68"/>
        <v>OK</v>
      </c>
      <c r="P168" s="335" t="str">
        <f t="shared" si="68"/>
        <v>OK</v>
      </c>
      <c r="Q168" s="335" t="str">
        <f t="shared" si="68"/>
        <v>OK</v>
      </c>
      <c r="R168" s="335" t="str">
        <f t="shared" si="68"/>
        <v>OK</v>
      </c>
      <c r="S168" s="335" t="str">
        <f t="shared" si="68"/>
        <v>OK</v>
      </c>
      <c r="T168" s="335" t="str">
        <f t="shared" si="68"/>
        <v>OK</v>
      </c>
      <c r="U168" s="335" t="str">
        <f t="shared" si="68"/>
        <v>OK</v>
      </c>
      <c r="V168" s="335" t="str">
        <f t="shared" si="68"/>
        <v>OK</v>
      </c>
      <c r="W168" s="335" t="str">
        <f t="shared" si="68"/>
        <v>OK</v>
      </c>
      <c r="X168" s="335" t="str">
        <f t="shared" si="68"/>
        <v>OK</v>
      </c>
      <c r="Y168" s="335" t="str">
        <f t="shared" si="68"/>
        <v>OK</v>
      </c>
      <c r="Z168" s="335" t="str">
        <f t="shared" si="68"/>
        <v>OK</v>
      </c>
      <c r="AA168" s="335" t="str">
        <f t="shared" si="68"/>
        <v>OK</v>
      </c>
      <c r="AB168" s="335" t="str">
        <f t="shared" si="68"/>
        <v>OK</v>
      </c>
      <c r="AC168" s="335" t="str">
        <f t="shared" si="68"/>
        <v>OK</v>
      </c>
      <c r="AD168" s="335" t="str">
        <f t="shared" si="68"/>
        <v>OK</v>
      </c>
      <c r="AE168" s="335" t="str">
        <f t="shared" si="68"/>
        <v>OK</v>
      </c>
      <c r="AF168" s="335" t="str">
        <f t="shared" si="68"/>
        <v>OK</v>
      </c>
      <c r="AG168" s="335" t="str">
        <f t="shared" si="68"/>
        <v>OK</v>
      </c>
      <c r="AH168" s="335" t="str">
        <f t="shared" si="68"/>
        <v>OK</v>
      </c>
      <c r="AI168" s="335" t="str">
        <f t="shared" si="68"/>
        <v>OK</v>
      </c>
      <c r="AJ168" s="335" t="str">
        <f t="shared" si="68"/>
        <v>OK</v>
      </c>
      <c r="AK168" s="335" t="str">
        <f t="shared" si="68"/>
        <v>OK</v>
      </c>
      <c r="AL168" s="336" t="str">
        <f t="shared" si="68"/>
        <v>OK</v>
      </c>
    </row>
    <row r="169" spans="1:39" s="85" customFormat="1" outlineLevel="2">
      <c r="A169" s="375"/>
      <c r="B169" s="366"/>
      <c r="C169" s="367" t="s">
        <v>326</v>
      </c>
      <c r="D169" s="89" t="s">
        <v>377</v>
      </c>
      <c r="E169" s="407" t="s">
        <v>31</v>
      </c>
      <c r="F169" s="408" t="s">
        <v>31</v>
      </c>
      <c r="G169" s="408" t="s">
        <v>31</v>
      </c>
      <c r="H169" s="409" t="s">
        <v>31</v>
      </c>
      <c r="I169" s="342" t="str">
        <f t="shared" ref="I169:AL169" si="69">+IF(I45&gt;=I46,"OK","BŁĄD")</f>
        <v>OK</v>
      </c>
      <c r="J169" s="335" t="str">
        <f t="shared" si="69"/>
        <v>OK</v>
      </c>
      <c r="K169" s="335" t="str">
        <f t="shared" si="69"/>
        <v>OK</v>
      </c>
      <c r="L169" s="335" t="str">
        <f t="shared" si="69"/>
        <v>OK</v>
      </c>
      <c r="M169" s="335" t="str">
        <f t="shared" si="69"/>
        <v>OK</v>
      </c>
      <c r="N169" s="335" t="str">
        <f t="shared" si="69"/>
        <v>OK</v>
      </c>
      <c r="O169" s="335" t="str">
        <f t="shared" si="69"/>
        <v>OK</v>
      </c>
      <c r="P169" s="335" t="str">
        <f t="shared" si="69"/>
        <v>OK</v>
      </c>
      <c r="Q169" s="335" t="str">
        <f t="shared" si="69"/>
        <v>OK</v>
      </c>
      <c r="R169" s="335" t="str">
        <f t="shared" si="69"/>
        <v>OK</v>
      </c>
      <c r="S169" s="335" t="str">
        <f t="shared" si="69"/>
        <v>OK</v>
      </c>
      <c r="T169" s="335" t="str">
        <f t="shared" si="69"/>
        <v>OK</v>
      </c>
      <c r="U169" s="335" t="str">
        <f t="shared" si="69"/>
        <v>OK</v>
      </c>
      <c r="V169" s="335" t="str">
        <f t="shared" si="69"/>
        <v>OK</v>
      </c>
      <c r="W169" s="335" t="str">
        <f t="shared" si="69"/>
        <v>OK</v>
      </c>
      <c r="X169" s="335" t="str">
        <f t="shared" si="69"/>
        <v>OK</v>
      </c>
      <c r="Y169" s="335" t="str">
        <f t="shared" si="69"/>
        <v>OK</v>
      </c>
      <c r="Z169" s="335" t="str">
        <f t="shared" si="69"/>
        <v>OK</v>
      </c>
      <c r="AA169" s="335" t="str">
        <f t="shared" si="69"/>
        <v>OK</v>
      </c>
      <c r="AB169" s="335" t="str">
        <f t="shared" si="69"/>
        <v>OK</v>
      </c>
      <c r="AC169" s="335" t="str">
        <f t="shared" si="69"/>
        <v>OK</v>
      </c>
      <c r="AD169" s="335" t="str">
        <f t="shared" si="69"/>
        <v>OK</v>
      </c>
      <c r="AE169" s="335" t="str">
        <f t="shared" si="69"/>
        <v>OK</v>
      </c>
      <c r="AF169" s="335" t="str">
        <f t="shared" si="69"/>
        <v>OK</v>
      </c>
      <c r="AG169" s="335" t="str">
        <f t="shared" si="69"/>
        <v>OK</v>
      </c>
      <c r="AH169" s="335" t="str">
        <f t="shared" si="69"/>
        <v>OK</v>
      </c>
      <c r="AI169" s="335" t="str">
        <f t="shared" si="69"/>
        <v>OK</v>
      </c>
      <c r="AJ169" s="335" t="str">
        <f t="shared" si="69"/>
        <v>OK</v>
      </c>
      <c r="AK169" s="335" t="str">
        <f t="shared" si="69"/>
        <v>OK</v>
      </c>
      <c r="AL169" s="336" t="str">
        <f t="shared" si="69"/>
        <v>OK</v>
      </c>
    </row>
    <row r="170" spans="1:39" s="85" customFormat="1" outlineLevel="2">
      <c r="A170" s="375"/>
      <c r="B170" s="366"/>
      <c r="C170" s="367" t="s">
        <v>330</v>
      </c>
      <c r="D170" s="89" t="s">
        <v>381</v>
      </c>
      <c r="E170" s="407" t="s">
        <v>31</v>
      </c>
      <c r="F170" s="408" t="s">
        <v>31</v>
      </c>
      <c r="G170" s="408" t="s">
        <v>31</v>
      </c>
      <c r="H170" s="409" t="s">
        <v>31</v>
      </c>
      <c r="I170" s="342" t="str">
        <f t="shared" ref="I170:AL170" si="70">IF(I49&gt;=I90,"OK","BŁĄD")</f>
        <v>OK</v>
      </c>
      <c r="J170" s="335" t="str">
        <f t="shared" si="70"/>
        <v>OK</v>
      </c>
      <c r="K170" s="335" t="str">
        <f t="shared" si="70"/>
        <v>OK</v>
      </c>
      <c r="L170" s="335" t="str">
        <f t="shared" si="70"/>
        <v>OK</v>
      </c>
      <c r="M170" s="335" t="str">
        <f t="shared" si="70"/>
        <v>OK</v>
      </c>
      <c r="N170" s="335" t="str">
        <f t="shared" si="70"/>
        <v>OK</v>
      </c>
      <c r="O170" s="335" t="str">
        <f t="shared" si="70"/>
        <v>OK</v>
      </c>
      <c r="P170" s="335" t="str">
        <f t="shared" si="70"/>
        <v>OK</v>
      </c>
      <c r="Q170" s="335" t="str">
        <f t="shared" si="70"/>
        <v>OK</v>
      </c>
      <c r="R170" s="335" t="str">
        <f t="shared" si="70"/>
        <v>OK</v>
      </c>
      <c r="S170" s="335" t="str">
        <f t="shared" si="70"/>
        <v>OK</v>
      </c>
      <c r="T170" s="335" t="str">
        <f t="shared" si="70"/>
        <v>OK</v>
      </c>
      <c r="U170" s="335" t="str">
        <f t="shared" si="70"/>
        <v>OK</v>
      </c>
      <c r="V170" s="335" t="str">
        <f t="shared" si="70"/>
        <v>OK</v>
      </c>
      <c r="W170" s="335" t="str">
        <f t="shared" si="70"/>
        <v>OK</v>
      </c>
      <c r="X170" s="335" t="str">
        <f t="shared" si="70"/>
        <v>OK</v>
      </c>
      <c r="Y170" s="335" t="str">
        <f t="shared" si="70"/>
        <v>OK</v>
      </c>
      <c r="Z170" s="335" t="str">
        <f t="shared" si="70"/>
        <v>OK</v>
      </c>
      <c r="AA170" s="335" t="str">
        <f t="shared" si="70"/>
        <v>OK</v>
      </c>
      <c r="AB170" s="335" t="str">
        <f t="shared" si="70"/>
        <v>OK</v>
      </c>
      <c r="AC170" s="335" t="str">
        <f t="shared" si="70"/>
        <v>OK</v>
      </c>
      <c r="AD170" s="335" t="str">
        <f t="shared" si="70"/>
        <v>OK</v>
      </c>
      <c r="AE170" s="335" t="str">
        <f t="shared" si="70"/>
        <v>OK</v>
      </c>
      <c r="AF170" s="335" t="str">
        <f t="shared" si="70"/>
        <v>OK</v>
      </c>
      <c r="AG170" s="335" t="str">
        <f t="shared" si="70"/>
        <v>OK</v>
      </c>
      <c r="AH170" s="335" t="str">
        <f t="shared" si="70"/>
        <v>OK</v>
      </c>
      <c r="AI170" s="335" t="str">
        <f t="shared" si="70"/>
        <v>OK</v>
      </c>
      <c r="AJ170" s="335" t="str">
        <f t="shared" si="70"/>
        <v>OK</v>
      </c>
      <c r="AK170" s="335" t="str">
        <f t="shared" si="70"/>
        <v>OK</v>
      </c>
      <c r="AL170" s="336" t="str">
        <f t="shared" si="70"/>
        <v>OK</v>
      </c>
    </row>
    <row r="171" spans="1:39" s="85" customFormat="1" outlineLevel="2">
      <c r="A171" s="375"/>
      <c r="B171" s="368"/>
      <c r="C171" s="369" t="s">
        <v>331</v>
      </c>
      <c r="D171" s="90" t="s">
        <v>382</v>
      </c>
      <c r="E171" s="411" t="s">
        <v>31</v>
      </c>
      <c r="F171" s="412" t="s">
        <v>31</v>
      </c>
      <c r="G171" s="412" t="s">
        <v>31</v>
      </c>
      <c r="H171" s="413" t="s">
        <v>31</v>
      </c>
      <c r="I171" s="343" t="str">
        <f t="shared" ref="I171:AL171" si="71">IF(I26&lt;&gt;0,IF(I27&lt;&gt;0,"OK","BŁĄD"),"N/D")</f>
        <v>OK</v>
      </c>
      <c r="J171" s="339" t="str">
        <f t="shared" si="71"/>
        <v>OK</v>
      </c>
      <c r="K171" s="339" t="str">
        <f t="shared" si="71"/>
        <v>OK</v>
      </c>
      <c r="L171" s="339" t="str">
        <f t="shared" si="71"/>
        <v>OK</v>
      </c>
      <c r="M171" s="339" t="str">
        <f t="shared" si="71"/>
        <v>OK</v>
      </c>
      <c r="N171" s="339" t="str">
        <f t="shared" si="71"/>
        <v>OK</v>
      </c>
      <c r="O171" s="339" t="str">
        <f t="shared" si="71"/>
        <v>OK</v>
      </c>
      <c r="P171" s="339" t="str">
        <f t="shared" si="71"/>
        <v>OK</v>
      </c>
      <c r="Q171" s="339" t="str">
        <f t="shared" si="71"/>
        <v>OK</v>
      </c>
      <c r="R171" s="339" t="str">
        <f t="shared" si="71"/>
        <v>OK</v>
      </c>
      <c r="S171" s="339" t="str">
        <f t="shared" si="71"/>
        <v>OK</v>
      </c>
      <c r="T171" s="339" t="str">
        <f t="shared" si="71"/>
        <v>OK</v>
      </c>
      <c r="U171" s="339" t="str">
        <f t="shared" si="71"/>
        <v>OK</v>
      </c>
      <c r="V171" s="339" t="str">
        <f t="shared" si="71"/>
        <v>N/D</v>
      </c>
      <c r="W171" s="339" t="str">
        <f t="shared" si="71"/>
        <v>N/D</v>
      </c>
      <c r="X171" s="339" t="str">
        <f t="shared" si="71"/>
        <v>N/D</v>
      </c>
      <c r="Y171" s="339" t="str">
        <f t="shared" si="71"/>
        <v>N/D</v>
      </c>
      <c r="Z171" s="339" t="str">
        <f t="shared" si="71"/>
        <v>N/D</v>
      </c>
      <c r="AA171" s="339" t="str">
        <f t="shared" si="71"/>
        <v>N/D</v>
      </c>
      <c r="AB171" s="339" t="str">
        <f t="shared" si="71"/>
        <v>N/D</v>
      </c>
      <c r="AC171" s="339" t="str">
        <f t="shared" si="71"/>
        <v>N/D</v>
      </c>
      <c r="AD171" s="339" t="str">
        <f t="shared" si="71"/>
        <v>N/D</v>
      </c>
      <c r="AE171" s="339" t="str">
        <f t="shared" si="71"/>
        <v>N/D</v>
      </c>
      <c r="AF171" s="339" t="str">
        <f t="shared" si="71"/>
        <v>N/D</v>
      </c>
      <c r="AG171" s="339" t="str">
        <f t="shared" si="71"/>
        <v>N/D</v>
      </c>
      <c r="AH171" s="339" t="str">
        <f t="shared" si="71"/>
        <v>N/D</v>
      </c>
      <c r="AI171" s="339" t="str">
        <f t="shared" si="71"/>
        <v>N/D</v>
      </c>
      <c r="AJ171" s="339" t="str">
        <f t="shared" si="71"/>
        <v>N/D</v>
      </c>
      <c r="AK171" s="339" t="str">
        <f t="shared" si="71"/>
        <v>N/D</v>
      </c>
      <c r="AL171" s="340" t="str">
        <f t="shared" si="71"/>
        <v>N/D</v>
      </c>
    </row>
    <row r="172" spans="1:39" s="85" customFormat="1" outlineLevel="2">
      <c r="A172" s="375"/>
      <c r="B172" s="84"/>
      <c r="C172" s="84"/>
      <c r="D172" s="84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9" s="85" customFormat="1" outlineLevel="1">
      <c r="A173" s="375"/>
      <c r="B173" s="84"/>
      <c r="C173" s="84"/>
      <c r="D173" s="306" t="s">
        <v>442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85" customFormat="1" ht="15" outlineLevel="2">
      <c r="A174" s="375"/>
      <c r="B174" s="175"/>
      <c r="C174" s="175"/>
      <c r="D174" s="176" t="s">
        <v>32</v>
      </c>
      <c r="E174" s="224">
        <f t="shared" ref="E174:AL174" si="72">E11+E18</f>
        <v>16360657.9</v>
      </c>
      <c r="F174" s="225">
        <f t="shared" si="72"/>
        <v>15865865.16</v>
      </c>
      <c r="G174" s="225">
        <f t="shared" si="72"/>
        <v>18420868.920000002</v>
      </c>
      <c r="H174" s="226">
        <f t="shared" si="72"/>
        <v>18510610.399999999</v>
      </c>
      <c r="I174" s="177">
        <f t="shared" si="72"/>
        <v>19073889.75</v>
      </c>
      <c r="J174" s="178">
        <f t="shared" si="72"/>
        <v>20250344</v>
      </c>
      <c r="K174" s="178">
        <f t="shared" si="72"/>
        <v>17600000</v>
      </c>
      <c r="L174" s="178">
        <f t="shared" si="72"/>
        <v>17943950</v>
      </c>
      <c r="M174" s="178">
        <f t="shared" si="72"/>
        <v>18237269</v>
      </c>
      <c r="N174" s="178">
        <f t="shared" si="72"/>
        <v>18545387</v>
      </c>
      <c r="O174" s="178">
        <f t="shared" si="72"/>
        <v>18768748</v>
      </c>
      <c r="P174" s="178">
        <f t="shared" si="72"/>
        <v>18807811</v>
      </c>
      <c r="Q174" s="178">
        <f t="shared" si="72"/>
        <v>19363045</v>
      </c>
      <c r="R174" s="178">
        <f t="shared" si="72"/>
        <v>19934936</v>
      </c>
      <c r="S174" s="178">
        <f t="shared" si="72"/>
        <v>20523984</v>
      </c>
      <c r="T174" s="178">
        <f t="shared" si="72"/>
        <v>21130704</v>
      </c>
      <c r="U174" s="178">
        <f t="shared" si="72"/>
        <v>21755625</v>
      </c>
      <c r="V174" s="178">
        <f t="shared" si="72"/>
        <v>0</v>
      </c>
      <c r="W174" s="178">
        <f t="shared" si="72"/>
        <v>0</v>
      </c>
      <c r="X174" s="178">
        <f t="shared" si="72"/>
        <v>0</v>
      </c>
      <c r="Y174" s="178">
        <f t="shared" si="72"/>
        <v>0</v>
      </c>
      <c r="Z174" s="178">
        <f t="shared" si="72"/>
        <v>0</v>
      </c>
      <c r="AA174" s="178">
        <f t="shared" si="72"/>
        <v>0</v>
      </c>
      <c r="AB174" s="178">
        <f t="shared" si="72"/>
        <v>0</v>
      </c>
      <c r="AC174" s="178">
        <f t="shared" si="72"/>
        <v>0</v>
      </c>
      <c r="AD174" s="178">
        <f t="shared" si="72"/>
        <v>0</v>
      </c>
      <c r="AE174" s="178">
        <f t="shared" si="72"/>
        <v>0</v>
      </c>
      <c r="AF174" s="178">
        <f t="shared" si="72"/>
        <v>0</v>
      </c>
      <c r="AG174" s="178">
        <f t="shared" si="72"/>
        <v>0</v>
      </c>
      <c r="AH174" s="178">
        <f t="shared" si="72"/>
        <v>0</v>
      </c>
      <c r="AI174" s="178">
        <f t="shared" si="72"/>
        <v>0</v>
      </c>
      <c r="AJ174" s="178">
        <f t="shared" si="72"/>
        <v>0</v>
      </c>
      <c r="AK174" s="178">
        <f t="shared" si="72"/>
        <v>0</v>
      </c>
      <c r="AL174" s="179">
        <f t="shared" si="72"/>
        <v>0</v>
      </c>
      <c r="AM174" s="175"/>
    </row>
    <row r="175" spans="1:39" s="85" customFormat="1" ht="15" outlineLevel="2">
      <c r="A175" s="375"/>
      <c r="B175" s="175"/>
      <c r="C175" s="175"/>
      <c r="D175" s="180" t="s">
        <v>33</v>
      </c>
      <c r="E175" s="227">
        <f t="shared" ref="E175:AL175" si="73">E22+E28</f>
        <v>18764728.809999999</v>
      </c>
      <c r="F175" s="228">
        <f t="shared" si="73"/>
        <v>22266908</v>
      </c>
      <c r="G175" s="228">
        <f t="shared" si="73"/>
        <v>20656887.920000002</v>
      </c>
      <c r="H175" s="229">
        <f t="shared" si="73"/>
        <v>18408779.099999998</v>
      </c>
      <c r="I175" s="181">
        <f t="shared" si="73"/>
        <v>20320889.75</v>
      </c>
      <c r="J175" s="182">
        <f t="shared" si="73"/>
        <v>19193344</v>
      </c>
      <c r="K175" s="182">
        <f t="shared" si="73"/>
        <v>17500000</v>
      </c>
      <c r="L175" s="182">
        <f t="shared" si="73"/>
        <v>17543950</v>
      </c>
      <c r="M175" s="182">
        <f t="shared" si="73"/>
        <v>17637269</v>
      </c>
      <c r="N175" s="182">
        <f t="shared" si="73"/>
        <v>17945387</v>
      </c>
      <c r="O175" s="182">
        <f t="shared" si="73"/>
        <v>17568748</v>
      </c>
      <c r="P175" s="182">
        <f t="shared" si="73"/>
        <v>17507811</v>
      </c>
      <c r="Q175" s="182">
        <f t="shared" si="73"/>
        <v>18163045</v>
      </c>
      <c r="R175" s="182">
        <f t="shared" si="73"/>
        <v>18604936</v>
      </c>
      <c r="S175" s="182">
        <f t="shared" si="73"/>
        <v>19013984</v>
      </c>
      <c r="T175" s="182">
        <f t="shared" si="73"/>
        <v>19582704</v>
      </c>
      <c r="U175" s="182">
        <f t="shared" si="73"/>
        <v>21012625</v>
      </c>
      <c r="V175" s="182">
        <f t="shared" si="73"/>
        <v>0</v>
      </c>
      <c r="W175" s="182">
        <f t="shared" si="73"/>
        <v>0</v>
      </c>
      <c r="X175" s="182">
        <f t="shared" si="73"/>
        <v>0</v>
      </c>
      <c r="Y175" s="182">
        <f t="shared" si="73"/>
        <v>0</v>
      </c>
      <c r="Z175" s="182">
        <f t="shared" si="73"/>
        <v>0</v>
      </c>
      <c r="AA175" s="182">
        <f t="shared" si="73"/>
        <v>0</v>
      </c>
      <c r="AB175" s="182">
        <f t="shared" si="73"/>
        <v>0</v>
      </c>
      <c r="AC175" s="182">
        <f t="shared" si="73"/>
        <v>0</v>
      </c>
      <c r="AD175" s="182">
        <f t="shared" si="73"/>
        <v>0</v>
      </c>
      <c r="AE175" s="182">
        <f t="shared" si="73"/>
        <v>0</v>
      </c>
      <c r="AF175" s="182">
        <f t="shared" si="73"/>
        <v>0</v>
      </c>
      <c r="AG175" s="182">
        <f t="shared" si="73"/>
        <v>0</v>
      </c>
      <c r="AH175" s="182">
        <f t="shared" si="73"/>
        <v>0</v>
      </c>
      <c r="AI175" s="182">
        <f t="shared" si="73"/>
        <v>0</v>
      </c>
      <c r="AJ175" s="182">
        <f t="shared" si="73"/>
        <v>0</v>
      </c>
      <c r="AK175" s="182">
        <f t="shared" si="73"/>
        <v>0</v>
      </c>
      <c r="AL175" s="183">
        <f t="shared" si="73"/>
        <v>0</v>
      </c>
      <c r="AM175" s="175"/>
    </row>
    <row r="176" spans="1:39" s="85" customFormat="1" ht="15" outlineLevel="2">
      <c r="A176" s="375"/>
      <c r="B176" s="175"/>
      <c r="C176" s="175"/>
      <c r="D176" s="180" t="s">
        <v>387</v>
      </c>
      <c r="E176" s="227">
        <f t="shared" ref="E176:AL176" si="74">E10-E21</f>
        <v>-2404070.9099999983</v>
      </c>
      <c r="F176" s="228">
        <f t="shared" si="74"/>
        <v>-6401042.8399999999</v>
      </c>
      <c r="G176" s="228">
        <f t="shared" si="74"/>
        <v>-2236019</v>
      </c>
      <c r="H176" s="229">
        <f t="shared" si="74"/>
        <v>101831.30000000075</v>
      </c>
      <c r="I176" s="181">
        <f t="shared" si="74"/>
        <v>-1247000</v>
      </c>
      <c r="J176" s="182">
        <f t="shared" si="74"/>
        <v>1057000</v>
      </c>
      <c r="K176" s="182">
        <f t="shared" si="74"/>
        <v>100000</v>
      </c>
      <c r="L176" s="182">
        <f t="shared" si="74"/>
        <v>400000</v>
      </c>
      <c r="M176" s="182">
        <f t="shared" si="74"/>
        <v>600000</v>
      </c>
      <c r="N176" s="182">
        <f t="shared" si="74"/>
        <v>600000</v>
      </c>
      <c r="O176" s="182">
        <f t="shared" si="74"/>
        <v>1200000</v>
      </c>
      <c r="P176" s="182">
        <f t="shared" si="74"/>
        <v>1300000</v>
      </c>
      <c r="Q176" s="182">
        <f t="shared" si="74"/>
        <v>1200000</v>
      </c>
      <c r="R176" s="182">
        <f t="shared" si="74"/>
        <v>1330000</v>
      </c>
      <c r="S176" s="182">
        <f t="shared" si="74"/>
        <v>1510000</v>
      </c>
      <c r="T176" s="182">
        <f t="shared" si="74"/>
        <v>1548000</v>
      </c>
      <c r="U176" s="182">
        <f t="shared" si="74"/>
        <v>743000</v>
      </c>
      <c r="V176" s="182">
        <f t="shared" si="74"/>
        <v>0</v>
      </c>
      <c r="W176" s="182">
        <f t="shared" si="74"/>
        <v>0</v>
      </c>
      <c r="X176" s="182">
        <f t="shared" si="74"/>
        <v>0</v>
      </c>
      <c r="Y176" s="182">
        <f t="shared" si="74"/>
        <v>0</v>
      </c>
      <c r="Z176" s="182">
        <f t="shared" si="74"/>
        <v>0</v>
      </c>
      <c r="AA176" s="182">
        <f t="shared" si="74"/>
        <v>0</v>
      </c>
      <c r="AB176" s="182">
        <f t="shared" si="74"/>
        <v>0</v>
      </c>
      <c r="AC176" s="182">
        <f t="shared" si="74"/>
        <v>0</v>
      </c>
      <c r="AD176" s="182">
        <f t="shared" si="74"/>
        <v>0</v>
      </c>
      <c r="AE176" s="182">
        <f t="shared" si="74"/>
        <v>0</v>
      </c>
      <c r="AF176" s="182">
        <f t="shared" si="74"/>
        <v>0</v>
      </c>
      <c r="AG176" s="182">
        <f t="shared" si="74"/>
        <v>0</v>
      </c>
      <c r="AH176" s="182">
        <f t="shared" si="74"/>
        <v>0</v>
      </c>
      <c r="AI176" s="182">
        <f t="shared" si="74"/>
        <v>0</v>
      </c>
      <c r="AJ176" s="182">
        <f t="shared" si="74"/>
        <v>0</v>
      </c>
      <c r="AK176" s="182">
        <f t="shared" si="74"/>
        <v>0</v>
      </c>
      <c r="AL176" s="183">
        <f t="shared" si="74"/>
        <v>0</v>
      </c>
      <c r="AM176" s="175"/>
    </row>
    <row r="177" spans="1:39" s="85" customFormat="1" ht="15" outlineLevel="2">
      <c r="A177" s="375"/>
      <c r="B177" s="175"/>
      <c r="C177" s="175"/>
      <c r="D177" s="184" t="s">
        <v>388</v>
      </c>
      <c r="E177" s="374" t="s">
        <v>31</v>
      </c>
      <c r="F177" s="228">
        <f>E44+F35-F40+(F99-E99)+F104</f>
        <v>12575068.789999999</v>
      </c>
      <c r="G177" s="414" t="s">
        <v>31</v>
      </c>
      <c r="H177" s="229">
        <f>F44+H35-H40+(H99-F99)+H104</f>
        <v>12447872.24</v>
      </c>
      <c r="I177" s="181">
        <f t="shared" ref="I177:AL177" si="75">H44+I35-I40+(I99-H99)+I104</f>
        <v>11607700</v>
      </c>
      <c r="J177" s="182">
        <f t="shared" si="75"/>
        <v>10540850</v>
      </c>
      <c r="K177" s="182">
        <f t="shared" si="75"/>
        <v>10431000</v>
      </c>
      <c r="L177" s="182">
        <f t="shared" si="75"/>
        <v>10031000</v>
      </c>
      <c r="M177" s="182">
        <f t="shared" si="75"/>
        <v>9431000</v>
      </c>
      <c r="N177" s="182">
        <f t="shared" si="75"/>
        <v>8831000</v>
      </c>
      <c r="O177" s="182">
        <f t="shared" si="75"/>
        <v>7631000</v>
      </c>
      <c r="P177" s="182">
        <f t="shared" si="75"/>
        <v>6331000</v>
      </c>
      <c r="Q177" s="182">
        <f t="shared" si="75"/>
        <v>5131000</v>
      </c>
      <c r="R177" s="182">
        <f t="shared" si="75"/>
        <v>3801000</v>
      </c>
      <c r="S177" s="182">
        <f t="shared" si="75"/>
        <v>2291000</v>
      </c>
      <c r="T177" s="182">
        <f t="shared" si="75"/>
        <v>743000</v>
      </c>
      <c r="U177" s="182">
        <f t="shared" si="75"/>
        <v>0</v>
      </c>
      <c r="V177" s="182">
        <f t="shared" si="75"/>
        <v>0</v>
      </c>
      <c r="W177" s="182">
        <f t="shared" si="75"/>
        <v>0</v>
      </c>
      <c r="X177" s="182">
        <f t="shared" si="75"/>
        <v>0</v>
      </c>
      <c r="Y177" s="182">
        <f t="shared" si="75"/>
        <v>0</v>
      </c>
      <c r="Z177" s="182">
        <f t="shared" si="75"/>
        <v>0</v>
      </c>
      <c r="AA177" s="182">
        <f t="shared" si="75"/>
        <v>0</v>
      </c>
      <c r="AB177" s="182">
        <f t="shared" si="75"/>
        <v>0</v>
      </c>
      <c r="AC177" s="182">
        <f t="shared" si="75"/>
        <v>0</v>
      </c>
      <c r="AD177" s="182">
        <f t="shared" si="75"/>
        <v>0</v>
      </c>
      <c r="AE177" s="182">
        <f t="shared" si="75"/>
        <v>0</v>
      </c>
      <c r="AF177" s="182">
        <f t="shared" si="75"/>
        <v>0</v>
      </c>
      <c r="AG177" s="182">
        <f t="shared" si="75"/>
        <v>0</v>
      </c>
      <c r="AH177" s="182">
        <f t="shared" si="75"/>
        <v>0</v>
      </c>
      <c r="AI177" s="182">
        <f t="shared" si="75"/>
        <v>0</v>
      </c>
      <c r="AJ177" s="182">
        <f t="shared" si="75"/>
        <v>0</v>
      </c>
      <c r="AK177" s="182">
        <f t="shared" si="75"/>
        <v>0</v>
      </c>
      <c r="AL177" s="183">
        <f t="shared" si="75"/>
        <v>0</v>
      </c>
      <c r="AM177" s="175"/>
    </row>
    <row r="178" spans="1:39" s="85" customFormat="1" ht="24" outlineLevel="2">
      <c r="A178" s="375"/>
      <c r="B178" s="175"/>
      <c r="C178" s="175"/>
      <c r="D178" s="185" t="s">
        <v>448</v>
      </c>
      <c r="E178" s="334" t="s">
        <v>31</v>
      </c>
      <c r="F178" s="230">
        <f>E90-(F92+F93+F94+F95)</f>
        <v>0</v>
      </c>
      <c r="G178" s="415" t="s">
        <v>31</v>
      </c>
      <c r="H178" s="231">
        <f>F90-(H92+H93+H94+H95)</f>
        <v>0</v>
      </c>
      <c r="I178" s="186">
        <f>H90-(I92+I93+I94+I95)</f>
        <v>0</v>
      </c>
      <c r="J178" s="187">
        <f t="shared" ref="J178:AL178" si="76">I90-(J92+J93+J94+J95)</f>
        <v>0</v>
      </c>
      <c r="K178" s="187">
        <f t="shared" si="76"/>
        <v>0</v>
      </c>
      <c r="L178" s="187">
        <f t="shared" si="76"/>
        <v>0</v>
      </c>
      <c r="M178" s="187">
        <f t="shared" si="76"/>
        <v>0</v>
      </c>
      <c r="N178" s="187">
        <f t="shared" si="76"/>
        <v>0</v>
      </c>
      <c r="O178" s="187">
        <f t="shared" si="76"/>
        <v>0</v>
      </c>
      <c r="P178" s="187">
        <f t="shared" si="76"/>
        <v>0</v>
      </c>
      <c r="Q178" s="187">
        <f t="shared" si="76"/>
        <v>0</v>
      </c>
      <c r="R178" s="187">
        <f t="shared" si="76"/>
        <v>0</v>
      </c>
      <c r="S178" s="187">
        <f t="shared" si="76"/>
        <v>0</v>
      </c>
      <c r="T178" s="187">
        <f t="shared" si="76"/>
        <v>0</v>
      </c>
      <c r="U178" s="187">
        <f t="shared" si="76"/>
        <v>0</v>
      </c>
      <c r="V178" s="187">
        <f t="shared" si="76"/>
        <v>0</v>
      </c>
      <c r="W178" s="187">
        <f t="shared" si="76"/>
        <v>0</v>
      </c>
      <c r="X178" s="187">
        <f t="shared" si="76"/>
        <v>0</v>
      </c>
      <c r="Y178" s="187">
        <f t="shared" si="76"/>
        <v>0</v>
      </c>
      <c r="Z178" s="187">
        <f t="shared" si="76"/>
        <v>0</v>
      </c>
      <c r="AA178" s="187">
        <f t="shared" si="76"/>
        <v>0</v>
      </c>
      <c r="AB178" s="187">
        <f t="shared" si="76"/>
        <v>0</v>
      </c>
      <c r="AC178" s="187">
        <f t="shared" si="76"/>
        <v>0</v>
      </c>
      <c r="AD178" s="187">
        <f t="shared" si="76"/>
        <v>0</v>
      </c>
      <c r="AE178" s="187">
        <f t="shared" si="76"/>
        <v>0</v>
      </c>
      <c r="AF178" s="187">
        <f t="shared" si="76"/>
        <v>0</v>
      </c>
      <c r="AG178" s="187">
        <f t="shared" si="76"/>
        <v>0</v>
      </c>
      <c r="AH178" s="187">
        <f t="shared" si="76"/>
        <v>0</v>
      </c>
      <c r="AI178" s="187">
        <f t="shared" si="76"/>
        <v>0</v>
      </c>
      <c r="AJ178" s="187">
        <f t="shared" si="76"/>
        <v>0</v>
      </c>
      <c r="AK178" s="187">
        <f t="shared" si="76"/>
        <v>0</v>
      </c>
      <c r="AL178" s="188">
        <f t="shared" si="76"/>
        <v>0</v>
      </c>
      <c r="AM178" s="175"/>
    </row>
    <row r="179" spans="1:39" s="85" customFormat="1">
      <c r="A179" s="375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9" s="85" customFormat="1" ht="15.75">
      <c r="A180" s="375"/>
      <c r="B180" s="1"/>
      <c r="C180" s="1"/>
      <c r="D180" s="303" t="s">
        <v>35</v>
      </c>
      <c r="E180" s="79"/>
      <c r="F180" s="79"/>
      <c r="G180" s="79"/>
      <c r="H180" s="7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9" s="85" customFormat="1" outlineLevel="1">
      <c r="A181" s="375"/>
      <c r="B181" s="1"/>
      <c r="C181" s="1"/>
      <c r="D181" s="304" t="s">
        <v>40</v>
      </c>
      <c r="E181" s="80"/>
      <c r="F181" s="80"/>
      <c r="G181" s="80"/>
      <c r="H181" s="8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9" s="85" customFormat="1" outlineLevel="2">
      <c r="A182" s="375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81"/>
      <c r="G182" s="81"/>
      <c r="H182" s="8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9" s="85" customFormat="1" outlineLevel="2">
      <c r="A183" s="375"/>
      <c r="B183" s="1"/>
      <c r="C183" s="1"/>
      <c r="D183" s="31">
        <v>5.0000000000000001E-3</v>
      </c>
      <c r="E183" s="33" t="str">
        <f>+"różnica mniejsza od "&amp;TEXT(D183*100,"0,0")&amp;"%"</f>
        <v>różnica mniejsza od 0,5%</v>
      </c>
      <c r="F183" s="81"/>
      <c r="G183" s="81"/>
      <c r="H183" s="8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9" s="85" customFormat="1" outlineLevel="2">
      <c r="A184" s="375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81"/>
      <c r="G184" s="81"/>
      <c r="H184" s="8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9" s="85" customFormat="1" outlineLevel="2">
      <c r="A185" s="375"/>
      <c r="B185" s="1"/>
      <c r="C185" s="1"/>
      <c r="D185" s="287" t="s">
        <v>427</v>
      </c>
      <c r="E185" s="381" t="s">
        <v>31</v>
      </c>
      <c r="F185" s="382" t="s">
        <v>31</v>
      </c>
      <c r="G185" s="382" t="s">
        <v>31</v>
      </c>
      <c r="H185" s="383" t="s">
        <v>31</v>
      </c>
      <c r="I185" s="288">
        <f t="shared" ref="I185:AL185" si="77">+IF(I10=0,"",I61-I56)</f>
        <v>-0.15980585230411595</v>
      </c>
      <c r="J185" s="289">
        <f t="shared" si="77"/>
        <v>-5.2366362673016031E-2</v>
      </c>
      <c r="K185" s="289">
        <f t="shared" si="77"/>
        <v>-4.6119726065465341E-3</v>
      </c>
      <c r="L185" s="289">
        <f t="shared" si="77"/>
        <v>4.0800986348983048E-3</v>
      </c>
      <c r="M185" s="289">
        <f t="shared" si="77"/>
        <v>4.9657289210916361E-3</v>
      </c>
      <c r="N185" s="289">
        <f t="shared" si="77"/>
        <v>2.5480680294391628E-2</v>
      </c>
      <c r="O185" s="289">
        <f t="shared" si="77"/>
        <v>3.4579007780145415E-3</v>
      </c>
      <c r="P185" s="289">
        <f t="shared" si="77"/>
        <v>2.7960704381341794E-3</v>
      </c>
      <c r="Q185" s="289">
        <f t="shared" si="77"/>
        <v>1.0896997122009922E-2</v>
      </c>
      <c r="R185" s="289">
        <f t="shared" si="77"/>
        <v>1.9089341212653987E-2</v>
      </c>
      <c r="S185" s="289">
        <f t="shared" si="77"/>
        <v>2.8691143665009952E-2</v>
      </c>
      <c r="T185" s="289">
        <f t="shared" si="77"/>
        <v>4.9886327427786675E-2</v>
      </c>
      <c r="U185" s="289">
        <f t="shared" si="77"/>
        <v>9.5848177529379672E-2</v>
      </c>
      <c r="V185" s="289" t="str">
        <f t="shared" si="77"/>
        <v/>
      </c>
      <c r="W185" s="289" t="str">
        <f t="shared" si="77"/>
        <v/>
      </c>
      <c r="X185" s="289" t="str">
        <f t="shared" si="77"/>
        <v/>
      </c>
      <c r="Y185" s="289" t="str">
        <f t="shared" si="77"/>
        <v/>
      </c>
      <c r="Z185" s="289" t="str">
        <f t="shared" si="77"/>
        <v/>
      </c>
      <c r="AA185" s="289" t="str">
        <f t="shared" si="77"/>
        <v/>
      </c>
      <c r="AB185" s="289" t="str">
        <f t="shared" si="77"/>
        <v/>
      </c>
      <c r="AC185" s="289" t="str">
        <f t="shared" si="77"/>
        <v/>
      </c>
      <c r="AD185" s="289" t="str">
        <f t="shared" si="77"/>
        <v/>
      </c>
      <c r="AE185" s="289" t="str">
        <f t="shared" si="77"/>
        <v/>
      </c>
      <c r="AF185" s="289" t="str">
        <f t="shared" si="77"/>
        <v/>
      </c>
      <c r="AG185" s="289" t="str">
        <f t="shared" si="77"/>
        <v/>
      </c>
      <c r="AH185" s="289" t="str">
        <f t="shared" si="77"/>
        <v/>
      </c>
      <c r="AI185" s="289" t="str">
        <f t="shared" si="77"/>
        <v/>
      </c>
      <c r="AJ185" s="289" t="str">
        <f t="shared" si="77"/>
        <v/>
      </c>
      <c r="AK185" s="289" t="str">
        <f t="shared" si="77"/>
        <v/>
      </c>
      <c r="AL185" s="290" t="str">
        <f t="shared" si="77"/>
        <v/>
      </c>
    </row>
    <row r="186" spans="1:39" s="85" customFormat="1" outlineLevel="2">
      <c r="A186" s="375"/>
      <c r="B186" s="1"/>
      <c r="C186" s="1"/>
      <c r="D186" s="291" t="s">
        <v>428</v>
      </c>
      <c r="E186" s="384" t="s">
        <v>31</v>
      </c>
      <c r="F186" s="385" t="s">
        <v>31</v>
      </c>
      <c r="G186" s="385" t="s">
        <v>31</v>
      </c>
      <c r="H186" s="386" t="s">
        <v>31</v>
      </c>
      <c r="I186" s="292">
        <f t="shared" ref="I186:AL186" si="78">+IF(I10=0,"",I61-I57)</f>
        <v>-0.13565157616859408</v>
      </c>
      <c r="J186" s="293">
        <f t="shared" si="78"/>
        <v>-1.6971850736630795E-4</v>
      </c>
      <c r="K186" s="293">
        <f t="shared" si="78"/>
        <v>-4.6119726065465341E-3</v>
      </c>
      <c r="L186" s="293">
        <f t="shared" si="78"/>
        <v>4.0800986348983048E-3</v>
      </c>
      <c r="M186" s="293">
        <f t="shared" si="78"/>
        <v>4.9657289210916361E-3</v>
      </c>
      <c r="N186" s="293">
        <f t="shared" si="78"/>
        <v>2.5480680294391628E-2</v>
      </c>
      <c r="O186" s="293">
        <f t="shared" si="78"/>
        <v>3.4579007780145415E-3</v>
      </c>
      <c r="P186" s="293">
        <f t="shared" si="78"/>
        <v>2.7960704381341794E-3</v>
      </c>
      <c r="Q186" s="293">
        <f t="shared" si="78"/>
        <v>1.0896997122009922E-2</v>
      </c>
      <c r="R186" s="293">
        <f t="shared" si="78"/>
        <v>1.9089341212653987E-2</v>
      </c>
      <c r="S186" s="293">
        <f t="shared" si="78"/>
        <v>2.8691143665009952E-2</v>
      </c>
      <c r="T186" s="293">
        <f t="shared" si="78"/>
        <v>4.9886327427786675E-2</v>
      </c>
      <c r="U186" s="293">
        <f t="shared" si="78"/>
        <v>9.5848177529379672E-2</v>
      </c>
      <c r="V186" s="293" t="str">
        <f t="shared" si="78"/>
        <v/>
      </c>
      <c r="W186" s="293" t="str">
        <f t="shared" si="78"/>
        <v/>
      </c>
      <c r="X186" s="293" t="str">
        <f t="shared" si="78"/>
        <v/>
      </c>
      <c r="Y186" s="293" t="str">
        <f t="shared" si="78"/>
        <v/>
      </c>
      <c r="Z186" s="293" t="str">
        <f t="shared" si="78"/>
        <v/>
      </c>
      <c r="AA186" s="293" t="str">
        <f t="shared" si="78"/>
        <v/>
      </c>
      <c r="AB186" s="293" t="str">
        <f t="shared" si="78"/>
        <v/>
      </c>
      <c r="AC186" s="293" t="str">
        <f t="shared" si="78"/>
        <v/>
      </c>
      <c r="AD186" s="293" t="str">
        <f t="shared" si="78"/>
        <v/>
      </c>
      <c r="AE186" s="293" t="str">
        <f t="shared" si="78"/>
        <v/>
      </c>
      <c r="AF186" s="293" t="str">
        <f t="shared" si="78"/>
        <v/>
      </c>
      <c r="AG186" s="293" t="str">
        <f t="shared" si="78"/>
        <v/>
      </c>
      <c r="AH186" s="293" t="str">
        <f t="shared" si="78"/>
        <v/>
      </c>
      <c r="AI186" s="293" t="str">
        <f t="shared" si="78"/>
        <v/>
      </c>
      <c r="AJ186" s="293" t="str">
        <f t="shared" si="78"/>
        <v/>
      </c>
      <c r="AK186" s="293" t="str">
        <f t="shared" si="78"/>
        <v/>
      </c>
      <c r="AL186" s="294" t="str">
        <f t="shared" si="78"/>
        <v/>
      </c>
    </row>
    <row r="187" spans="1:39" s="85" customFormat="1" outlineLevel="2">
      <c r="A187" s="375"/>
      <c r="B187" s="1"/>
      <c r="C187" s="1"/>
      <c r="D187" s="287" t="s">
        <v>429</v>
      </c>
      <c r="E187" s="381" t="s">
        <v>31</v>
      </c>
      <c r="F187" s="382" t="s">
        <v>31</v>
      </c>
      <c r="G187" s="382" t="s">
        <v>31</v>
      </c>
      <c r="H187" s="383" t="s">
        <v>31</v>
      </c>
      <c r="I187" s="288">
        <f t="shared" ref="I187:AL187" si="79">+IF(I10=0,"",I62-I56)</f>
        <v>-0.15006480452863663</v>
      </c>
      <c r="J187" s="289">
        <f t="shared" si="79"/>
        <v>-4.2625314897536688E-2</v>
      </c>
      <c r="K187" s="289">
        <f t="shared" si="79"/>
        <v>5.1290751689328021E-3</v>
      </c>
      <c r="L187" s="289">
        <f t="shared" si="79"/>
        <v>4.0800986348983048E-3</v>
      </c>
      <c r="M187" s="289">
        <f t="shared" si="79"/>
        <v>4.9657289210916361E-3</v>
      </c>
      <c r="N187" s="289">
        <f t="shared" si="79"/>
        <v>2.5480680294391628E-2</v>
      </c>
      <c r="O187" s="289">
        <f t="shared" si="79"/>
        <v>3.4579007780145415E-3</v>
      </c>
      <c r="P187" s="289">
        <f t="shared" si="79"/>
        <v>2.7960704381341794E-3</v>
      </c>
      <c r="Q187" s="289">
        <f t="shared" si="79"/>
        <v>1.0896997122009922E-2</v>
      </c>
      <c r="R187" s="289">
        <f t="shared" si="79"/>
        <v>1.9089341212653987E-2</v>
      </c>
      <c r="S187" s="289">
        <f t="shared" si="79"/>
        <v>2.8691143665009952E-2</v>
      </c>
      <c r="T187" s="289">
        <f t="shared" si="79"/>
        <v>4.9886327427786675E-2</v>
      </c>
      <c r="U187" s="289">
        <f t="shared" si="79"/>
        <v>9.5848177529379672E-2</v>
      </c>
      <c r="V187" s="289" t="str">
        <f t="shared" si="79"/>
        <v/>
      </c>
      <c r="W187" s="289" t="str">
        <f t="shared" si="79"/>
        <v/>
      </c>
      <c r="X187" s="289" t="str">
        <f t="shared" si="79"/>
        <v/>
      </c>
      <c r="Y187" s="289" t="str">
        <f t="shared" si="79"/>
        <v/>
      </c>
      <c r="Z187" s="289" t="str">
        <f t="shared" si="79"/>
        <v/>
      </c>
      <c r="AA187" s="289" t="str">
        <f t="shared" si="79"/>
        <v/>
      </c>
      <c r="AB187" s="289" t="str">
        <f t="shared" si="79"/>
        <v/>
      </c>
      <c r="AC187" s="289" t="str">
        <f t="shared" si="79"/>
        <v/>
      </c>
      <c r="AD187" s="289" t="str">
        <f t="shared" si="79"/>
        <v/>
      </c>
      <c r="AE187" s="289" t="str">
        <f t="shared" si="79"/>
        <v/>
      </c>
      <c r="AF187" s="289" t="str">
        <f t="shared" si="79"/>
        <v/>
      </c>
      <c r="AG187" s="289" t="str">
        <f t="shared" si="79"/>
        <v/>
      </c>
      <c r="AH187" s="289" t="str">
        <f t="shared" si="79"/>
        <v/>
      </c>
      <c r="AI187" s="289" t="str">
        <f t="shared" si="79"/>
        <v/>
      </c>
      <c r="AJ187" s="289" t="str">
        <f t="shared" si="79"/>
        <v/>
      </c>
      <c r="AK187" s="289" t="str">
        <f t="shared" si="79"/>
        <v/>
      </c>
      <c r="AL187" s="290" t="str">
        <f t="shared" si="79"/>
        <v/>
      </c>
    </row>
    <row r="188" spans="1:39" s="85" customFormat="1" outlineLevel="2">
      <c r="A188" s="375"/>
      <c r="B188" s="1"/>
      <c r="C188" s="1"/>
      <c r="D188" s="291" t="s">
        <v>430</v>
      </c>
      <c r="E188" s="384" t="s">
        <v>31</v>
      </c>
      <c r="F188" s="385" t="s">
        <v>31</v>
      </c>
      <c r="G188" s="385" t="s">
        <v>31</v>
      </c>
      <c r="H188" s="386" t="s">
        <v>31</v>
      </c>
      <c r="I188" s="292">
        <f t="shared" ref="I188:AL188" si="80">+IF(I10=0,"",I62-I57)</f>
        <v>-0.12591052839311476</v>
      </c>
      <c r="J188" s="293">
        <f t="shared" si="80"/>
        <v>9.5713292681130352E-3</v>
      </c>
      <c r="K188" s="293">
        <f t="shared" si="80"/>
        <v>5.1290751689328021E-3</v>
      </c>
      <c r="L188" s="293">
        <f t="shared" si="80"/>
        <v>4.0800986348983048E-3</v>
      </c>
      <c r="M188" s="293">
        <f t="shared" si="80"/>
        <v>4.9657289210916361E-3</v>
      </c>
      <c r="N188" s="293">
        <f t="shared" si="80"/>
        <v>2.5480680294391628E-2</v>
      </c>
      <c r="O188" s="293">
        <f t="shared" si="80"/>
        <v>3.4579007780145415E-3</v>
      </c>
      <c r="P188" s="293">
        <f t="shared" si="80"/>
        <v>2.7960704381341794E-3</v>
      </c>
      <c r="Q188" s="293">
        <f t="shared" si="80"/>
        <v>1.0896997122009922E-2</v>
      </c>
      <c r="R188" s="293">
        <f t="shared" si="80"/>
        <v>1.9089341212653987E-2</v>
      </c>
      <c r="S188" s="293">
        <f t="shared" si="80"/>
        <v>2.8691143665009952E-2</v>
      </c>
      <c r="T188" s="293">
        <f t="shared" si="80"/>
        <v>4.9886327427786675E-2</v>
      </c>
      <c r="U188" s="293">
        <f t="shared" si="80"/>
        <v>9.5848177529379672E-2</v>
      </c>
      <c r="V188" s="293" t="str">
        <f t="shared" si="80"/>
        <v/>
      </c>
      <c r="W188" s="293" t="str">
        <f t="shared" si="80"/>
        <v/>
      </c>
      <c r="X188" s="293" t="str">
        <f t="shared" si="80"/>
        <v/>
      </c>
      <c r="Y188" s="293" t="str">
        <f t="shared" si="80"/>
        <v/>
      </c>
      <c r="Z188" s="293" t="str">
        <f t="shared" si="80"/>
        <v/>
      </c>
      <c r="AA188" s="293" t="str">
        <f t="shared" si="80"/>
        <v/>
      </c>
      <c r="AB188" s="293" t="str">
        <f t="shared" si="80"/>
        <v/>
      </c>
      <c r="AC188" s="293" t="str">
        <f t="shared" si="80"/>
        <v/>
      </c>
      <c r="AD188" s="293" t="str">
        <f t="shared" si="80"/>
        <v/>
      </c>
      <c r="AE188" s="293" t="str">
        <f t="shared" si="80"/>
        <v/>
      </c>
      <c r="AF188" s="293" t="str">
        <f t="shared" si="80"/>
        <v/>
      </c>
      <c r="AG188" s="293" t="str">
        <f t="shared" si="80"/>
        <v/>
      </c>
      <c r="AH188" s="293" t="str">
        <f t="shared" si="80"/>
        <v/>
      </c>
      <c r="AI188" s="293" t="str">
        <f t="shared" si="80"/>
        <v/>
      </c>
      <c r="AJ188" s="293" t="str">
        <f t="shared" si="80"/>
        <v/>
      </c>
      <c r="AK188" s="293" t="str">
        <f t="shared" si="80"/>
        <v/>
      </c>
      <c r="AL188" s="294" t="str">
        <f t="shared" si="80"/>
        <v/>
      </c>
    </row>
    <row r="189" spans="1:39" s="85" customFormat="1" outlineLevel="1">
      <c r="A189" s="375"/>
      <c r="B189" s="1"/>
      <c r="C189" s="1"/>
      <c r="D189" s="304" t="s">
        <v>438</v>
      </c>
      <c r="E189" s="80"/>
      <c r="F189" s="80"/>
      <c r="G189" s="80"/>
      <c r="H189" s="8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9" s="85" customFormat="1" outlineLevel="2">
      <c r="A190" s="375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82"/>
      <c r="G190" s="82"/>
      <c r="H190" s="82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9" s="85" customFormat="1" outlineLevel="2">
      <c r="A191" s="375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82"/>
      <c r="G191" s="82"/>
      <c r="H191" s="82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9" s="85" customFormat="1" ht="24" outlineLevel="2">
      <c r="A192" s="375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82"/>
      <c r="G192" s="417" t="s">
        <v>475</v>
      </c>
      <c r="H192" s="417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85" customFormat="1" outlineLevel="2">
      <c r="A193" s="375"/>
      <c r="B193" s="272"/>
      <c r="C193" s="272"/>
      <c r="D193" s="190" t="s">
        <v>26</v>
      </c>
      <c r="E193" s="387" t="s">
        <v>31</v>
      </c>
      <c r="F193" s="191">
        <f t="shared" ref="F193:AL193" si="81">+IF(F10=0,0,IF(E219&lt;&gt;0,F219/E219-1,0))</f>
        <v>-3.0242838828626772E-2</v>
      </c>
      <c r="G193" s="191">
        <f t="shared" si="81"/>
        <v>0.16103778358343246</v>
      </c>
      <c r="H193" s="192">
        <f t="shared" si="81"/>
        <v>4.8717289281920984E-3</v>
      </c>
      <c r="I193" s="273">
        <f t="shared" si="81"/>
        <v>3.0430079712552294E-2</v>
      </c>
      <c r="J193" s="274">
        <f t="shared" si="81"/>
        <v>6.1678780019162049E-2</v>
      </c>
      <c r="K193" s="274">
        <f t="shared" si="81"/>
        <v>-0.13087896185862324</v>
      </c>
      <c r="L193" s="274">
        <f t="shared" si="81"/>
        <v>1.954261363636367E-2</v>
      </c>
      <c r="M193" s="274">
        <f t="shared" si="81"/>
        <v>1.6346400876061207E-2</v>
      </c>
      <c r="N193" s="274">
        <f t="shared" si="81"/>
        <v>1.6894963823804954E-2</v>
      </c>
      <c r="O193" s="274">
        <f t="shared" si="81"/>
        <v>1.2044019356403757E-2</v>
      </c>
      <c r="P193" s="274">
        <f t="shared" si="81"/>
        <v>2.0812789430599832E-3</v>
      </c>
      <c r="Q193" s="274">
        <f t="shared" si="81"/>
        <v>2.9521457866627854E-2</v>
      </c>
      <c r="R193" s="274">
        <f t="shared" si="81"/>
        <v>2.9535178996898503E-2</v>
      </c>
      <c r="S193" s="274">
        <f t="shared" si="81"/>
        <v>2.9548527268911329E-2</v>
      </c>
      <c r="T193" s="274">
        <f t="shared" si="81"/>
        <v>2.9561512033920989E-2</v>
      </c>
      <c r="U193" s="274">
        <f t="shared" si="81"/>
        <v>2.9574073821676761E-2</v>
      </c>
      <c r="V193" s="274">
        <f t="shared" si="81"/>
        <v>0</v>
      </c>
      <c r="W193" s="274">
        <f t="shared" si="81"/>
        <v>0</v>
      </c>
      <c r="X193" s="274">
        <f t="shared" si="81"/>
        <v>0</v>
      </c>
      <c r="Y193" s="274">
        <f t="shared" si="81"/>
        <v>0</v>
      </c>
      <c r="Z193" s="274">
        <f t="shared" si="81"/>
        <v>0</v>
      </c>
      <c r="AA193" s="274">
        <f t="shared" si="81"/>
        <v>0</v>
      </c>
      <c r="AB193" s="274">
        <f t="shared" si="81"/>
        <v>0</v>
      </c>
      <c r="AC193" s="274">
        <f t="shared" si="81"/>
        <v>0</v>
      </c>
      <c r="AD193" s="274">
        <f t="shared" si="81"/>
        <v>0</v>
      </c>
      <c r="AE193" s="274">
        <f t="shared" si="81"/>
        <v>0</v>
      </c>
      <c r="AF193" s="274">
        <f t="shared" si="81"/>
        <v>0</v>
      </c>
      <c r="AG193" s="274">
        <f t="shared" si="81"/>
        <v>0</v>
      </c>
      <c r="AH193" s="274">
        <f t="shared" si="81"/>
        <v>0</v>
      </c>
      <c r="AI193" s="274">
        <f t="shared" si="81"/>
        <v>0</v>
      </c>
      <c r="AJ193" s="274">
        <f t="shared" si="81"/>
        <v>0</v>
      </c>
      <c r="AK193" s="274">
        <f t="shared" si="81"/>
        <v>0</v>
      </c>
      <c r="AL193" s="275">
        <f t="shared" si="81"/>
        <v>0</v>
      </c>
      <c r="AM193" s="276"/>
    </row>
    <row r="194" spans="1:39" s="85" customFormat="1" ht="15" outlineLevel="2">
      <c r="A194" s="375"/>
      <c r="B194" s="189"/>
      <c r="C194" s="189"/>
      <c r="D194" s="193" t="s">
        <v>391</v>
      </c>
      <c r="E194" s="388" t="s">
        <v>31</v>
      </c>
      <c r="F194" s="232">
        <f t="shared" ref="F194:AL194" si="82">+IF(F10=0,0,IF(E220&lt;&gt;0,F220/E220-1,0))</f>
        <v>-3.0242838828626772E-2</v>
      </c>
      <c r="G194" s="232">
        <f t="shared" si="82"/>
        <v>0.16103778358343246</v>
      </c>
      <c r="H194" s="233">
        <f t="shared" si="82"/>
        <v>4.8717289281920984E-3</v>
      </c>
      <c r="I194" s="194">
        <f t="shared" si="82"/>
        <v>-3.593418237574697E-2</v>
      </c>
      <c r="J194" s="195">
        <f t="shared" si="82"/>
        <v>-4.1772378155789269E-2</v>
      </c>
      <c r="K194" s="195">
        <f t="shared" si="82"/>
        <v>2.9239766081871288E-2</v>
      </c>
      <c r="L194" s="195">
        <f t="shared" si="82"/>
        <v>1.954261363636367E-2</v>
      </c>
      <c r="M194" s="195">
        <f t="shared" si="82"/>
        <v>1.6346400876061207E-2</v>
      </c>
      <c r="N194" s="195">
        <f t="shared" si="82"/>
        <v>1.6894963823804954E-2</v>
      </c>
      <c r="O194" s="195">
        <f t="shared" si="82"/>
        <v>1.2044019356403757E-2</v>
      </c>
      <c r="P194" s="195">
        <f t="shared" si="82"/>
        <v>2.0812789430599832E-3</v>
      </c>
      <c r="Q194" s="195">
        <f t="shared" si="82"/>
        <v>2.9521457866627854E-2</v>
      </c>
      <c r="R194" s="195">
        <f t="shared" si="82"/>
        <v>2.9535178996898503E-2</v>
      </c>
      <c r="S194" s="195">
        <f t="shared" si="82"/>
        <v>2.9548527268911329E-2</v>
      </c>
      <c r="T194" s="195">
        <f t="shared" si="82"/>
        <v>2.9561512033920989E-2</v>
      </c>
      <c r="U194" s="195">
        <f t="shared" si="82"/>
        <v>2.9574073821676761E-2</v>
      </c>
      <c r="V194" s="195">
        <f t="shared" si="82"/>
        <v>0</v>
      </c>
      <c r="W194" s="195">
        <f t="shared" si="82"/>
        <v>0</v>
      </c>
      <c r="X194" s="195">
        <f t="shared" si="82"/>
        <v>0</v>
      </c>
      <c r="Y194" s="195">
        <f t="shared" si="82"/>
        <v>0</v>
      </c>
      <c r="Z194" s="195">
        <f t="shared" si="82"/>
        <v>0</v>
      </c>
      <c r="AA194" s="195">
        <f t="shared" si="82"/>
        <v>0</v>
      </c>
      <c r="AB194" s="195">
        <f t="shared" si="82"/>
        <v>0</v>
      </c>
      <c r="AC194" s="195">
        <f t="shared" si="82"/>
        <v>0</v>
      </c>
      <c r="AD194" s="195">
        <f t="shared" si="82"/>
        <v>0</v>
      </c>
      <c r="AE194" s="195">
        <f t="shared" si="82"/>
        <v>0</v>
      </c>
      <c r="AF194" s="195">
        <f t="shared" si="82"/>
        <v>0</v>
      </c>
      <c r="AG194" s="195">
        <f t="shared" si="82"/>
        <v>0</v>
      </c>
      <c r="AH194" s="195">
        <f t="shared" si="82"/>
        <v>0</v>
      </c>
      <c r="AI194" s="195">
        <f t="shared" si="82"/>
        <v>0</v>
      </c>
      <c r="AJ194" s="195">
        <f t="shared" si="82"/>
        <v>0</v>
      </c>
      <c r="AK194" s="195">
        <f t="shared" si="82"/>
        <v>0</v>
      </c>
      <c r="AL194" s="196">
        <f t="shared" si="82"/>
        <v>0</v>
      </c>
      <c r="AM194" s="175"/>
    </row>
    <row r="195" spans="1:39" s="85" customFormat="1" ht="15" outlineLevel="2">
      <c r="A195" s="375"/>
      <c r="B195" s="189"/>
      <c r="C195" s="189"/>
      <c r="D195" s="197" t="s">
        <v>392</v>
      </c>
      <c r="E195" s="389" t="s">
        <v>31</v>
      </c>
      <c r="F195" s="234">
        <f t="shared" ref="F195:AL195" si="83">+IF(F10=0,0,IF(E221&lt;&gt;0,F221/E221-1,0))</f>
        <v>6.0397117962598612E-2</v>
      </c>
      <c r="G195" s="234">
        <f t="shared" si="83"/>
        <v>0.11316498141266429</v>
      </c>
      <c r="H195" s="235">
        <f t="shared" si="83"/>
        <v>1.5684566314469794E-2</v>
      </c>
      <c r="I195" s="194">
        <f t="shared" si="83"/>
        <v>1.4487766025922166E-2</v>
      </c>
      <c r="J195" s="195">
        <f t="shared" si="83"/>
        <v>3.6323924632725824E-2</v>
      </c>
      <c r="K195" s="195">
        <f t="shared" si="83"/>
        <v>2.9761904761904656E-2</v>
      </c>
      <c r="L195" s="195">
        <f t="shared" si="83"/>
        <v>1.9881502890173319E-2</v>
      </c>
      <c r="M195" s="195">
        <f t="shared" si="83"/>
        <v>1.6624338654326332E-2</v>
      </c>
      <c r="N195" s="195">
        <f t="shared" si="83"/>
        <v>1.7177531317615902E-2</v>
      </c>
      <c r="O195" s="195">
        <f t="shared" si="83"/>
        <v>1.2242053292703448E-2</v>
      </c>
      <c r="P195" s="195">
        <f t="shared" si="83"/>
        <v>2.1150865234611516E-3</v>
      </c>
      <c r="Q195" s="195">
        <f t="shared" si="83"/>
        <v>2.9999982169690353E-2</v>
      </c>
      <c r="R195" s="195">
        <f t="shared" si="83"/>
        <v>2.9999981639869278E-2</v>
      </c>
      <c r="S195" s="195">
        <f t="shared" si="83"/>
        <v>2.999999592562963E-2</v>
      </c>
      <c r="T195" s="195">
        <f t="shared" si="83"/>
        <v>3.0000023734195969E-2</v>
      </c>
      <c r="U195" s="195">
        <f t="shared" si="83"/>
        <v>2.999999423927302E-2</v>
      </c>
      <c r="V195" s="195">
        <f t="shared" si="83"/>
        <v>0</v>
      </c>
      <c r="W195" s="195">
        <f t="shared" si="83"/>
        <v>0</v>
      </c>
      <c r="X195" s="195">
        <f t="shared" si="83"/>
        <v>0</v>
      </c>
      <c r="Y195" s="195">
        <f t="shared" si="83"/>
        <v>0</v>
      </c>
      <c r="Z195" s="195">
        <f t="shared" si="83"/>
        <v>0</v>
      </c>
      <c r="AA195" s="195">
        <f t="shared" si="83"/>
        <v>0</v>
      </c>
      <c r="AB195" s="195">
        <f t="shared" si="83"/>
        <v>0</v>
      </c>
      <c r="AC195" s="195">
        <f t="shared" si="83"/>
        <v>0</v>
      </c>
      <c r="AD195" s="195">
        <f t="shared" si="83"/>
        <v>0</v>
      </c>
      <c r="AE195" s="195">
        <f t="shared" si="83"/>
        <v>0</v>
      </c>
      <c r="AF195" s="195">
        <f t="shared" si="83"/>
        <v>0</v>
      </c>
      <c r="AG195" s="195">
        <f t="shared" si="83"/>
        <v>0</v>
      </c>
      <c r="AH195" s="195">
        <f t="shared" si="83"/>
        <v>0</v>
      </c>
      <c r="AI195" s="195">
        <f t="shared" si="83"/>
        <v>0</v>
      </c>
      <c r="AJ195" s="195">
        <f t="shared" si="83"/>
        <v>0</v>
      </c>
      <c r="AK195" s="195">
        <f t="shared" si="83"/>
        <v>0</v>
      </c>
      <c r="AL195" s="196">
        <f t="shared" si="83"/>
        <v>0</v>
      </c>
      <c r="AM195" s="175"/>
    </row>
    <row r="196" spans="1:39" s="85" customFormat="1" ht="15" outlineLevel="2">
      <c r="A196" s="375"/>
      <c r="B196" s="189"/>
      <c r="C196" s="189"/>
      <c r="D196" s="197" t="s">
        <v>393</v>
      </c>
      <c r="E196" s="389" t="s">
        <v>31</v>
      </c>
      <c r="F196" s="234">
        <f t="shared" ref="F196:AL196" si="84">+IF(F10=0,0,IF(E222&lt;&gt;0,F222/E222-1,0))</f>
        <v>-0.42866395743819496</v>
      </c>
      <c r="G196" s="234">
        <f t="shared" si="84"/>
        <v>0.551598380792647</v>
      </c>
      <c r="H196" s="235">
        <f t="shared" si="84"/>
        <v>-5.8415993488080686E-2</v>
      </c>
      <c r="I196" s="194">
        <f t="shared" si="84"/>
        <v>-0.35428003680609432</v>
      </c>
      <c r="J196" s="195">
        <f t="shared" si="84"/>
        <v>-0.81643508678107757</v>
      </c>
      <c r="K196" s="195">
        <f t="shared" si="84"/>
        <v>0</v>
      </c>
      <c r="L196" s="195">
        <f t="shared" si="84"/>
        <v>0</v>
      </c>
      <c r="M196" s="195">
        <f t="shared" si="84"/>
        <v>0</v>
      </c>
      <c r="N196" s="195">
        <f t="shared" si="84"/>
        <v>0</v>
      </c>
      <c r="O196" s="195">
        <f t="shared" si="84"/>
        <v>0</v>
      </c>
      <c r="P196" s="195">
        <f t="shared" si="84"/>
        <v>0</v>
      </c>
      <c r="Q196" s="195">
        <f t="shared" si="84"/>
        <v>0</v>
      </c>
      <c r="R196" s="195">
        <f t="shared" si="84"/>
        <v>0</v>
      </c>
      <c r="S196" s="195">
        <f t="shared" si="84"/>
        <v>0</v>
      </c>
      <c r="T196" s="195">
        <f t="shared" si="84"/>
        <v>0</v>
      </c>
      <c r="U196" s="195">
        <f t="shared" si="84"/>
        <v>0</v>
      </c>
      <c r="V196" s="195">
        <f t="shared" si="84"/>
        <v>0</v>
      </c>
      <c r="W196" s="195">
        <f t="shared" si="84"/>
        <v>0</v>
      </c>
      <c r="X196" s="195">
        <f t="shared" si="84"/>
        <v>0</v>
      </c>
      <c r="Y196" s="195">
        <f t="shared" si="84"/>
        <v>0</v>
      </c>
      <c r="Z196" s="195">
        <f t="shared" si="84"/>
        <v>0</v>
      </c>
      <c r="AA196" s="195">
        <f t="shared" si="84"/>
        <v>0</v>
      </c>
      <c r="AB196" s="195">
        <f t="shared" si="84"/>
        <v>0</v>
      </c>
      <c r="AC196" s="195">
        <f t="shared" si="84"/>
        <v>0</v>
      </c>
      <c r="AD196" s="195">
        <f t="shared" si="84"/>
        <v>0</v>
      </c>
      <c r="AE196" s="195">
        <f t="shared" si="84"/>
        <v>0</v>
      </c>
      <c r="AF196" s="195">
        <f t="shared" si="84"/>
        <v>0</v>
      </c>
      <c r="AG196" s="195">
        <f t="shared" si="84"/>
        <v>0</v>
      </c>
      <c r="AH196" s="195">
        <f t="shared" si="84"/>
        <v>0</v>
      </c>
      <c r="AI196" s="195">
        <f t="shared" si="84"/>
        <v>0</v>
      </c>
      <c r="AJ196" s="195">
        <f t="shared" si="84"/>
        <v>0</v>
      </c>
      <c r="AK196" s="195">
        <f t="shared" si="84"/>
        <v>0</v>
      </c>
      <c r="AL196" s="196">
        <f t="shared" si="84"/>
        <v>0</v>
      </c>
      <c r="AM196" s="175"/>
    </row>
    <row r="197" spans="1:39" s="85" customFormat="1" ht="24" outlineLevel="2">
      <c r="A197" s="375"/>
      <c r="B197" s="189"/>
      <c r="C197" s="189"/>
      <c r="D197" s="197" t="s">
        <v>394</v>
      </c>
      <c r="E197" s="389" t="s">
        <v>31</v>
      </c>
      <c r="F197" s="234">
        <f t="shared" ref="F197:AL197" si="85">+IF(F10=0,0,IF(E223&lt;&gt;0,F223/E223-1,0))</f>
        <v>-0.45315699680184651</v>
      </c>
      <c r="G197" s="234">
        <f t="shared" si="85"/>
        <v>0.51059190089298112</v>
      </c>
      <c r="H197" s="235">
        <f t="shared" si="85"/>
        <v>-3.8199278910903245E-2</v>
      </c>
      <c r="I197" s="194">
        <f t="shared" si="85"/>
        <v>-0.99387677029607469</v>
      </c>
      <c r="J197" s="195">
        <f t="shared" si="85"/>
        <v>-1</v>
      </c>
      <c r="K197" s="195">
        <f t="shared" si="85"/>
        <v>0</v>
      </c>
      <c r="L197" s="195">
        <f t="shared" si="85"/>
        <v>0</v>
      </c>
      <c r="M197" s="195">
        <f t="shared" si="85"/>
        <v>0</v>
      </c>
      <c r="N197" s="195">
        <f t="shared" si="85"/>
        <v>0</v>
      </c>
      <c r="O197" s="195">
        <f t="shared" si="85"/>
        <v>0</v>
      </c>
      <c r="P197" s="195">
        <f t="shared" si="85"/>
        <v>0</v>
      </c>
      <c r="Q197" s="195">
        <f t="shared" si="85"/>
        <v>0</v>
      </c>
      <c r="R197" s="195">
        <f t="shared" si="85"/>
        <v>0</v>
      </c>
      <c r="S197" s="195">
        <f t="shared" si="85"/>
        <v>0</v>
      </c>
      <c r="T197" s="195">
        <f t="shared" si="85"/>
        <v>0</v>
      </c>
      <c r="U197" s="195">
        <f t="shared" si="85"/>
        <v>0</v>
      </c>
      <c r="V197" s="195">
        <f t="shared" si="85"/>
        <v>0</v>
      </c>
      <c r="W197" s="195">
        <f t="shared" si="85"/>
        <v>0</v>
      </c>
      <c r="X197" s="195">
        <f t="shared" si="85"/>
        <v>0</v>
      </c>
      <c r="Y197" s="195">
        <f t="shared" si="85"/>
        <v>0</v>
      </c>
      <c r="Z197" s="195">
        <f t="shared" si="85"/>
        <v>0</v>
      </c>
      <c r="AA197" s="195">
        <f t="shared" si="85"/>
        <v>0</v>
      </c>
      <c r="AB197" s="195">
        <f t="shared" si="85"/>
        <v>0</v>
      </c>
      <c r="AC197" s="195">
        <f t="shared" si="85"/>
        <v>0</v>
      </c>
      <c r="AD197" s="195">
        <f t="shared" si="85"/>
        <v>0</v>
      </c>
      <c r="AE197" s="195">
        <f t="shared" si="85"/>
        <v>0</v>
      </c>
      <c r="AF197" s="195">
        <f t="shared" si="85"/>
        <v>0</v>
      </c>
      <c r="AG197" s="195">
        <f t="shared" si="85"/>
        <v>0</v>
      </c>
      <c r="AH197" s="195">
        <f t="shared" si="85"/>
        <v>0</v>
      </c>
      <c r="AI197" s="195">
        <f t="shared" si="85"/>
        <v>0</v>
      </c>
      <c r="AJ197" s="195">
        <f t="shared" si="85"/>
        <v>0</v>
      </c>
      <c r="AK197" s="195">
        <f t="shared" si="85"/>
        <v>0</v>
      </c>
      <c r="AL197" s="196">
        <f t="shared" si="85"/>
        <v>0</v>
      </c>
      <c r="AM197" s="175"/>
    </row>
    <row r="198" spans="1:39" s="85" customFormat="1" ht="15" outlineLevel="2">
      <c r="A198" s="375"/>
      <c r="B198" s="189"/>
      <c r="C198" s="189"/>
      <c r="D198" s="198" t="s">
        <v>36</v>
      </c>
      <c r="E198" s="390" t="s">
        <v>31</v>
      </c>
      <c r="F198" s="236">
        <f t="shared" ref="F198:AL198" si="86">+IF(F10=0,0,IF(E224&lt;&gt;0,F224/E224-1,0))</f>
        <v>0.3459533609452925</v>
      </c>
      <c r="G198" s="236">
        <f t="shared" si="86"/>
        <v>1.0785001542886654</v>
      </c>
      <c r="H198" s="237">
        <f t="shared" si="86"/>
        <v>-0.24720853846153845</v>
      </c>
      <c r="I198" s="199">
        <f t="shared" si="86"/>
        <v>7.2768861618535894</v>
      </c>
      <c r="J198" s="200">
        <f t="shared" si="86"/>
        <v>-0.81481481481481488</v>
      </c>
      <c r="K198" s="200">
        <f t="shared" si="86"/>
        <v>0</v>
      </c>
      <c r="L198" s="200">
        <f t="shared" si="86"/>
        <v>0</v>
      </c>
      <c r="M198" s="200">
        <f t="shared" si="86"/>
        <v>0</v>
      </c>
      <c r="N198" s="200">
        <f t="shared" si="86"/>
        <v>0</v>
      </c>
      <c r="O198" s="200">
        <f t="shared" si="86"/>
        <v>0</v>
      </c>
      <c r="P198" s="200">
        <f t="shared" si="86"/>
        <v>0</v>
      </c>
      <c r="Q198" s="200">
        <f t="shared" si="86"/>
        <v>0</v>
      </c>
      <c r="R198" s="200">
        <f t="shared" si="86"/>
        <v>0</v>
      </c>
      <c r="S198" s="200">
        <f t="shared" si="86"/>
        <v>0</v>
      </c>
      <c r="T198" s="200">
        <f t="shared" si="86"/>
        <v>0</v>
      </c>
      <c r="U198" s="200">
        <f t="shared" si="86"/>
        <v>0</v>
      </c>
      <c r="V198" s="200">
        <f t="shared" si="86"/>
        <v>0</v>
      </c>
      <c r="W198" s="200">
        <f t="shared" si="86"/>
        <v>0</v>
      </c>
      <c r="X198" s="200">
        <f t="shared" si="86"/>
        <v>0</v>
      </c>
      <c r="Y198" s="200">
        <f t="shared" si="86"/>
        <v>0</v>
      </c>
      <c r="Z198" s="200">
        <f t="shared" si="86"/>
        <v>0</v>
      </c>
      <c r="AA198" s="200">
        <f t="shared" si="86"/>
        <v>0</v>
      </c>
      <c r="AB198" s="200">
        <f t="shared" si="86"/>
        <v>0</v>
      </c>
      <c r="AC198" s="200">
        <f t="shared" si="86"/>
        <v>0</v>
      </c>
      <c r="AD198" s="200">
        <f t="shared" si="86"/>
        <v>0</v>
      </c>
      <c r="AE198" s="200">
        <f t="shared" si="86"/>
        <v>0</v>
      </c>
      <c r="AF198" s="200">
        <f t="shared" si="86"/>
        <v>0</v>
      </c>
      <c r="AG198" s="200">
        <f t="shared" si="86"/>
        <v>0</v>
      </c>
      <c r="AH198" s="200">
        <f t="shared" si="86"/>
        <v>0</v>
      </c>
      <c r="AI198" s="200">
        <f t="shared" si="86"/>
        <v>0</v>
      </c>
      <c r="AJ198" s="200">
        <f t="shared" si="86"/>
        <v>0</v>
      </c>
      <c r="AK198" s="200">
        <f t="shared" si="86"/>
        <v>0</v>
      </c>
      <c r="AL198" s="201">
        <f t="shared" si="86"/>
        <v>0</v>
      </c>
      <c r="AM198" s="175"/>
    </row>
    <row r="199" spans="1:39" s="85" customFormat="1" outlineLevel="2">
      <c r="A199" s="375"/>
      <c r="B199" s="272"/>
      <c r="C199" s="272"/>
      <c r="D199" s="190" t="s">
        <v>21</v>
      </c>
      <c r="E199" s="387" t="s">
        <v>31</v>
      </c>
      <c r="F199" s="191">
        <f t="shared" ref="F199:AL199" si="87">+IF(F10=0,0,IF(E225&lt;&gt;0,F225/E225-1,0))</f>
        <v>0.18663628051654224</v>
      </c>
      <c r="G199" s="191">
        <f t="shared" si="87"/>
        <v>-7.230550734749519E-2</v>
      </c>
      <c r="H199" s="192">
        <f t="shared" si="87"/>
        <v>-0.10883095404818388</v>
      </c>
      <c r="I199" s="273">
        <f t="shared" si="87"/>
        <v>0.10386949833082637</v>
      </c>
      <c r="J199" s="274">
        <f t="shared" si="87"/>
        <v>-5.5487026595378297E-2</v>
      </c>
      <c r="K199" s="274">
        <f t="shared" si="87"/>
        <v>-8.8225584869421447E-2</v>
      </c>
      <c r="L199" s="274">
        <f t="shared" si="87"/>
        <v>2.5114285714284978E-3</v>
      </c>
      <c r="M199" s="274">
        <f t="shared" si="87"/>
        <v>5.3191556063485468E-3</v>
      </c>
      <c r="N199" s="274">
        <f t="shared" si="87"/>
        <v>1.7469711438885538E-2</v>
      </c>
      <c r="O199" s="274">
        <f t="shared" si="87"/>
        <v>-2.0988067852757974E-2</v>
      </c>
      <c r="P199" s="274">
        <f t="shared" si="87"/>
        <v>-3.4684884773803493E-3</v>
      </c>
      <c r="Q199" s="274">
        <f t="shared" si="87"/>
        <v>3.742523836931988E-2</v>
      </c>
      <c r="R199" s="274">
        <f t="shared" si="87"/>
        <v>2.432912543023491E-2</v>
      </c>
      <c r="S199" s="274">
        <f t="shared" si="87"/>
        <v>2.1985993394441072E-2</v>
      </c>
      <c r="T199" s="274">
        <f t="shared" si="87"/>
        <v>2.9910617364567127E-2</v>
      </c>
      <c r="U199" s="274">
        <f t="shared" si="87"/>
        <v>7.3019589123136441E-2</v>
      </c>
      <c r="V199" s="274">
        <f t="shared" si="87"/>
        <v>0</v>
      </c>
      <c r="W199" s="274">
        <f t="shared" si="87"/>
        <v>0</v>
      </c>
      <c r="X199" s="274">
        <f t="shared" si="87"/>
        <v>0</v>
      </c>
      <c r="Y199" s="274">
        <f t="shared" si="87"/>
        <v>0</v>
      </c>
      <c r="Z199" s="274">
        <f t="shared" si="87"/>
        <v>0</v>
      </c>
      <c r="AA199" s="274">
        <f t="shared" si="87"/>
        <v>0</v>
      </c>
      <c r="AB199" s="274">
        <f t="shared" si="87"/>
        <v>0</v>
      </c>
      <c r="AC199" s="274">
        <f t="shared" si="87"/>
        <v>0</v>
      </c>
      <c r="AD199" s="274">
        <f t="shared" si="87"/>
        <v>0</v>
      </c>
      <c r="AE199" s="274">
        <f t="shared" si="87"/>
        <v>0</v>
      </c>
      <c r="AF199" s="274">
        <f t="shared" si="87"/>
        <v>0</v>
      </c>
      <c r="AG199" s="274">
        <f t="shared" si="87"/>
        <v>0</v>
      </c>
      <c r="AH199" s="274">
        <f t="shared" si="87"/>
        <v>0</v>
      </c>
      <c r="AI199" s="274">
        <f t="shared" si="87"/>
        <v>0</v>
      </c>
      <c r="AJ199" s="274">
        <f t="shared" si="87"/>
        <v>0</v>
      </c>
      <c r="AK199" s="274">
        <f t="shared" si="87"/>
        <v>0</v>
      </c>
      <c r="AL199" s="275">
        <f t="shared" si="87"/>
        <v>0</v>
      </c>
      <c r="AM199" s="276"/>
    </row>
    <row r="200" spans="1:39" s="85" customFormat="1" ht="15" outlineLevel="2">
      <c r="A200" s="375"/>
      <c r="B200" s="189"/>
      <c r="C200" s="189"/>
      <c r="D200" s="202" t="s">
        <v>390</v>
      </c>
      <c r="E200" s="389" t="s">
        <v>31</v>
      </c>
      <c r="F200" s="234">
        <f t="shared" ref="F200:AL200" si="88">+IF(F10=0,0,IF(E226&lt;&gt;0,F226/E226-1,0))</f>
        <v>0.18663628051654224</v>
      </c>
      <c r="G200" s="234">
        <f t="shared" si="88"/>
        <v>-7.230550734749519E-2</v>
      </c>
      <c r="H200" s="235">
        <f t="shared" si="88"/>
        <v>-0.10883095404818388</v>
      </c>
      <c r="I200" s="194">
        <f t="shared" si="88"/>
        <v>-5.1957837334253076E-2</v>
      </c>
      <c r="J200" s="195">
        <f t="shared" si="88"/>
        <v>-7.6899182120636622E-3</v>
      </c>
      <c r="K200" s="195">
        <f t="shared" si="88"/>
        <v>1.0503928492815451E-2</v>
      </c>
      <c r="L200" s="195">
        <f t="shared" si="88"/>
        <v>2.5114285714284978E-3</v>
      </c>
      <c r="M200" s="195">
        <f t="shared" si="88"/>
        <v>5.3191556063485468E-3</v>
      </c>
      <c r="N200" s="195">
        <f t="shared" si="88"/>
        <v>1.7469711438885538E-2</v>
      </c>
      <c r="O200" s="195">
        <f t="shared" si="88"/>
        <v>-2.0988067852757974E-2</v>
      </c>
      <c r="P200" s="195">
        <f t="shared" si="88"/>
        <v>-3.4684884773803493E-3</v>
      </c>
      <c r="Q200" s="195">
        <f t="shared" si="88"/>
        <v>3.742523836931988E-2</v>
      </c>
      <c r="R200" s="195">
        <f t="shared" si="88"/>
        <v>2.432912543023491E-2</v>
      </c>
      <c r="S200" s="195">
        <f t="shared" si="88"/>
        <v>2.1985993394441072E-2</v>
      </c>
      <c r="T200" s="195">
        <f t="shared" si="88"/>
        <v>2.9910617364567127E-2</v>
      </c>
      <c r="U200" s="195">
        <f t="shared" si="88"/>
        <v>7.3019589123136441E-2</v>
      </c>
      <c r="V200" s="195">
        <f t="shared" si="88"/>
        <v>0</v>
      </c>
      <c r="W200" s="195">
        <f t="shared" si="88"/>
        <v>0</v>
      </c>
      <c r="X200" s="195">
        <f t="shared" si="88"/>
        <v>0</v>
      </c>
      <c r="Y200" s="195">
        <f t="shared" si="88"/>
        <v>0</v>
      </c>
      <c r="Z200" s="195">
        <f t="shared" si="88"/>
        <v>0</v>
      </c>
      <c r="AA200" s="195">
        <f t="shared" si="88"/>
        <v>0</v>
      </c>
      <c r="AB200" s="195">
        <f t="shared" si="88"/>
        <v>0</v>
      </c>
      <c r="AC200" s="195">
        <f t="shared" si="88"/>
        <v>0</v>
      </c>
      <c r="AD200" s="195">
        <f t="shared" si="88"/>
        <v>0</v>
      </c>
      <c r="AE200" s="195">
        <f t="shared" si="88"/>
        <v>0</v>
      </c>
      <c r="AF200" s="195">
        <f t="shared" si="88"/>
        <v>0</v>
      </c>
      <c r="AG200" s="195">
        <f t="shared" si="88"/>
        <v>0</v>
      </c>
      <c r="AH200" s="195">
        <f t="shared" si="88"/>
        <v>0</v>
      </c>
      <c r="AI200" s="195">
        <f t="shared" si="88"/>
        <v>0</v>
      </c>
      <c r="AJ200" s="195">
        <f t="shared" si="88"/>
        <v>0</v>
      </c>
      <c r="AK200" s="195">
        <f t="shared" si="88"/>
        <v>0</v>
      </c>
      <c r="AL200" s="196">
        <f t="shared" si="88"/>
        <v>0</v>
      </c>
      <c r="AM200" s="175"/>
    </row>
    <row r="201" spans="1:39" s="85" customFormat="1" outlineLevel="2">
      <c r="A201" s="375"/>
      <c r="B201" s="272"/>
      <c r="C201" s="272"/>
      <c r="D201" s="203" t="s">
        <v>37</v>
      </c>
      <c r="E201" s="391" t="s">
        <v>31</v>
      </c>
      <c r="F201" s="238">
        <f t="shared" ref="F201:AL201" si="89">+IF(F10=0,0,IF(E227&lt;&gt;0,F227/E227-1,0))</f>
        <v>-4.4065490834308552E-3</v>
      </c>
      <c r="G201" s="238">
        <f t="shared" si="89"/>
        <v>0.12069384691718565</v>
      </c>
      <c r="H201" s="239">
        <f t="shared" si="89"/>
        <v>-2.2701573800010144E-2</v>
      </c>
      <c r="I201" s="277">
        <f t="shared" si="89"/>
        <v>9.1480011785367576E-2</v>
      </c>
      <c r="J201" s="278">
        <f t="shared" si="89"/>
        <v>-3.6024540436970454E-2</v>
      </c>
      <c r="K201" s="278">
        <f t="shared" si="89"/>
        <v>4.2401568292715908E-5</v>
      </c>
      <c r="L201" s="278">
        <f t="shared" si="89"/>
        <v>4.4771699664851727E-3</v>
      </c>
      <c r="M201" s="278">
        <f t="shared" si="89"/>
        <v>1.1463959972429549E-2</v>
      </c>
      <c r="N201" s="278">
        <f t="shared" si="89"/>
        <v>1.2538338588486742E-2</v>
      </c>
      <c r="O201" s="278">
        <f t="shared" si="89"/>
        <v>1.9150735396673557E-2</v>
      </c>
      <c r="P201" s="278">
        <f t="shared" si="89"/>
        <v>1.1622717919587133E-2</v>
      </c>
      <c r="Q201" s="278">
        <f t="shared" si="89"/>
        <v>-1.7009412838788318E-2</v>
      </c>
      <c r="R201" s="278">
        <f t="shared" si="89"/>
        <v>2.5163963664063038E-2</v>
      </c>
      <c r="S201" s="278">
        <f t="shared" si="89"/>
        <v>2.4946948603243424E-2</v>
      </c>
      <c r="T201" s="278">
        <f t="shared" si="89"/>
        <v>2.4643716072287436E-2</v>
      </c>
      <c r="U201" s="278">
        <f t="shared" si="89"/>
        <v>2.4756006251574147E-2</v>
      </c>
      <c r="V201" s="278">
        <f t="shared" si="89"/>
        <v>0</v>
      </c>
      <c r="W201" s="278">
        <f t="shared" si="89"/>
        <v>0</v>
      </c>
      <c r="X201" s="278">
        <f t="shared" si="89"/>
        <v>0</v>
      </c>
      <c r="Y201" s="278">
        <f t="shared" si="89"/>
        <v>0</v>
      </c>
      <c r="Z201" s="278">
        <f t="shared" si="89"/>
        <v>0</v>
      </c>
      <c r="AA201" s="278">
        <f t="shared" si="89"/>
        <v>0</v>
      </c>
      <c r="AB201" s="278">
        <f t="shared" si="89"/>
        <v>0</v>
      </c>
      <c r="AC201" s="278">
        <f t="shared" si="89"/>
        <v>0</v>
      </c>
      <c r="AD201" s="278">
        <f t="shared" si="89"/>
        <v>0</v>
      </c>
      <c r="AE201" s="278">
        <f t="shared" si="89"/>
        <v>0</v>
      </c>
      <c r="AF201" s="278">
        <f t="shared" si="89"/>
        <v>0</v>
      </c>
      <c r="AG201" s="278">
        <f t="shared" si="89"/>
        <v>0</v>
      </c>
      <c r="AH201" s="278">
        <f t="shared" si="89"/>
        <v>0</v>
      </c>
      <c r="AI201" s="278">
        <f t="shared" si="89"/>
        <v>0</v>
      </c>
      <c r="AJ201" s="278">
        <f t="shared" si="89"/>
        <v>0</v>
      </c>
      <c r="AK201" s="278">
        <f t="shared" si="89"/>
        <v>0</v>
      </c>
      <c r="AL201" s="279">
        <f t="shared" si="89"/>
        <v>0</v>
      </c>
      <c r="AM201" s="276"/>
    </row>
    <row r="202" spans="1:39" s="85" customFormat="1" ht="15" outlineLevel="2">
      <c r="A202" s="375"/>
      <c r="B202" s="189"/>
      <c r="C202" s="189"/>
      <c r="D202" s="197" t="s">
        <v>39</v>
      </c>
      <c r="E202" s="389" t="s">
        <v>31</v>
      </c>
      <c r="F202" s="234">
        <f t="shared" ref="F202:AL202" si="90">+IF(F10=0,0,IF(E228&lt;&gt;0,F228/E228-1,0))</f>
        <v>-4.4065490834308552E-3</v>
      </c>
      <c r="G202" s="234">
        <f t="shared" si="90"/>
        <v>0.12069384691718565</v>
      </c>
      <c r="H202" s="235">
        <f t="shared" si="90"/>
        <v>-2.2701573800010144E-2</v>
      </c>
      <c r="I202" s="194">
        <f t="shared" si="90"/>
        <v>6.552215847313958E-2</v>
      </c>
      <c r="J202" s="195">
        <f t="shared" si="90"/>
        <v>-1.3936797734101836E-2</v>
      </c>
      <c r="K202" s="195">
        <f t="shared" si="90"/>
        <v>1.4584639617554185E-3</v>
      </c>
      <c r="L202" s="195">
        <f t="shared" si="90"/>
        <v>4.4771699664851727E-3</v>
      </c>
      <c r="M202" s="195">
        <f t="shared" si="90"/>
        <v>1.1463959972429549E-2</v>
      </c>
      <c r="N202" s="195">
        <f t="shared" si="90"/>
        <v>1.2538338588486742E-2</v>
      </c>
      <c r="O202" s="195">
        <f t="shared" si="90"/>
        <v>1.9150735396673557E-2</v>
      </c>
      <c r="P202" s="195">
        <f t="shared" si="90"/>
        <v>1.1622717919587133E-2</v>
      </c>
      <c r="Q202" s="195">
        <f t="shared" si="90"/>
        <v>-1.7009412838788318E-2</v>
      </c>
      <c r="R202" s="195">
        <f t="shared" si="90"/>
        <v>2.5163963664063038E-2</v>
      </c>
      <c r="S202" s="195">
        <f t="shared" si="90"/>
        <v>2.4946948603243424E-2</v>
      </c>
      <c r="T202" s="195">
        <f t="shared" si="90"/>
        <v>2.4643716072287436E-2</v>
      </c>
      <c r="U202" s="195">
        <f t="shared" si="90"/>
        <v>2.4756006251574147E-2</v>
      </c>
      <c r="V202" s="195">
        <f t="shared" si="90"/>
        <v>0</v>
      </c>
      <c r="W202" s="195">
        <f t="shared" si="90"/>
        <v>0</v>
      </c>
      <c r="X202" s="195">
        <f t="shared" si="90"/>
        <v>0</v>
      </c>
      <c r="Y202" s="195">
        <f t="shared" si="90"/>
        <v>0</v>
      </c>
      <c r="Z202" s="195">
        <f t="shared" si="90"/>
        <v>0</v>
      </c>
      <c r="AA202" s="195">
        <f t="shared" si="90"/>
        <v>0</v>
      </c>
      <c r="AB202" s="195">
        <f t="shared" si="90"/>
        <v>0</v>
      </c>
      <c r="AC202" s="195">
        <f t="shared" si="90"/>
        <v>0</v>
      </c>
      <c r="AD202" s="195">
        <f t="shared" si="90"/>
        <v>0</v>
      </c>
      <c r="AE202" s="195">
        <f t="shared" si="90"/>
        <v>0</v>
      </c>
      <c r="AF202" s="195">
        <f t="shared" si="90"/>
        <v>0</v>
      </c>
      <c r="AG202" s="195">
        <f t="shared" si="90"/>
        <v>0</v>
      </c>
      <c r="AH202" s="195">
        <f t="shared" si="90"/>
        <v>0</v>
      </c>
      <c r="AI202" s="195">
        <f t="shared" si="90"/>
        <v>0</v>
      </c>
      <c r="AJ202" s="195">
        <f t="shared" si="90"/>
        <v>0</v>
      </c>
      <c r="AK202" s="195">
        <f t="shared" si="90"/>
        <v>0</v>
      </c>
      <c r="AL202" s="196">
        <f t="shared" si="90"/>
        <v>0</v>
      </c>
      <c r="AM202" s="175"/>
    </row>
    <row r="203" spans="1:39" s="85" customFormat="1" ht="15" outlineLevel="2">
      <c r="A203" s="375"/>
      <c r="B203" s="189"/>
      <c r="C203" s="189"/>
      <c r="D203" s="197" t="s">
        <v>38</v>
      </c>
      <c r="E203" s="389" t="s">
        <v>31</v>
      </c>
      <c r="F203" s="234">
        <f t="shared" ref="F203:AL203" si="91">+IF(F10=0,0,IF(E229&lt;&gt;0,F229/E229-1,0))</f>
        <v>0</v>
      </c>
      <c r="G203" s="234">
        <f t="shared" si="91"/>
        <v>0.10636979690636705</v>
      </c>
      <c r="H203" s="235">
        <f t="shared" si="91"/>
        <v>-1.525927781295866E-2</v>
      </c>
      <c r="I203" s="194">
        <f t="shared" si="91"/>
        <v>5.096514628949067E-2</v>
      </c>
      <c r="J203" s="195">
        <f t="shared" si="91"/>
        <v>-3.4619673762426029E-3</v>
      </c>
      <c r="K203" s="195">
        <f t="shared" si="91"/>
        <v>3.0000112445863314E-2</v>
      </c>
      <c r="L203" s="195">
        <f t="shared" si="91"/>
        <v>2.999997270731769E-2</v>
      </c>
      <c r="M203" s="195">
        <f t="shared" si="91"/>
        <v>2.9999916322893228E-2</v>
      </c>
      <c r="N203" s="195">
        <f t="shared" si="91"/>
        <v>3.0000005415994346E-2</v>
      </c>
      <c r="O203" s="195">
        <f t="shared" si="91"/>
        <v>3.0000007887370561E-2</v>
      </c>
      <c r="P203" s="195">
        <f t="shared" si="91"/>
        <v>3.000008551032618E-2</v>
      </c>
      <c r="Q203" s="195">
        <f t="shared" si="91"/>
        <v>2.999998389169467E-2</v>
      </c>
      <c r="R203" s="195">
        <f t="shared" si="91"/>
        <v>2.9999944661534217E-2</v>
      </c>
      <c r="S203" s="195">
        <f t="shared" si="91"/>
        <v>3.0000037375073729E-2</v>
      </c>
      <c r="T203" s="195">
        <f t="shared" si="91"/>
        <v>2.9999959177712032E-2</v>
      </c>
      <c r="U203" s="195">
        <f t="shared" si="91"/>
        <v>2.9999979082429906E-2</v>
      </c>
      <c r="V203" s="195">
        <f t="shared" si="91"/>
        <v>0</v>
      </c>
      <c r="W203" s="195">
        <f t="shared" si="91"/>
        <v>0</v>
      </c>
      <c r="X203" s="195">
        <f t="shared" si="91"/>
        <v>0</v>
      </c>
      <c r="Y203" s="195">
        <f t="shared" si="91"/>
        <v>0</v>
      </c>
      <c r="Z203" s="195">
        <f t="shared" si="91"/>
        <v>0</v>
      </c>
      <c r="AA203" s="195">
        <f t="shared" si="91"/>
        <v>0</v>
      </c>
      <c r="AB203" s="195">
        <f t="shared" si="91"/>
        <v>0</v>
      </c>
      <c r="AC203" s="195">
        <f t="shared" si="91"/>
        <v>0</v>
      </c>
      <c r="AD203" s="195">
        <f t="shared" si="91"/>
        <v>0</v>
      </c>
      <c r="AE203" s="195">
        <f t="shared" si="91"/>
        <v>0</v>
      </c>
      <c r="AF203" s="195">
        <f t="shared" si="91"/>
        <v>0</v>
      </c>
      <c r="AG203" s="195">
        <f t="shared" si="91"/>
        <v>0</v>
      </c>
      <c r="AH203" s="195">
        <f t="shared" si="91"/>
        <v>0</v>
      </c>
      <c r="AI203" s="195">
        <f t="shared" si="91"/>
        <v>0</v>
      </c>
      <c r="AJ203" s="195">
        <f t="shared" si="91"/>
        <v>0</v>
      </c>
      <c r="AK203" s="195">
        <f t="shared" si="91"/>
        <v>0</v>
      </c>
      <c r="AL203" s="196">
        <f t="shared" si="91"/>
        <v>0</v>
      </c>
      <c r="AM203" s="175"/>
    </row>
    <row r="204" spans="1:39" s="85" customFormat="1" ht="24" outlineLevel="2">
      <c r="A204" s="375"/>
      <c r="B204" s="189"/>
      <c r="C204" s="189"/>
      <c r="D204" s="198" t="s">
        <v>389</v>
      </c>
      <c r="E204" s="392" t="s">
        <v>31</v>
      </c>
      <c r="F204" s="240">
        <f t="shared" ref="F204:AL204" si="92">+IF(F10=0,0,IF(E230&lt;&gt;0,F230/E230-1,0))</f>
        <v>-0.54390707146540263</v>
      </c>
      <c r="G204" s="240">
        <f t="shared" si="92"/>
        <v>0.59811626541561758</v>
      </c>
      <c r="H204" s="241">
        <f t="shared" si="92"/>
        <v>-0.33311464919886025</v>
      </c>
      <c r="I204" s="204">
        <f t="shared" si="92"/>
        <v>7.2329911149259241E-2</v>
      </c>
      <c r="J204" s="205">
        <f t="shared" si="92"/>
        <v>-6.1980543150934264E-2</v>
      </c>
      <c r="K204" s="205">
        <f t="shared" si="92"/>
        <v>-6.0212432828635531E-2</v>
      </c>
      <c r="L204" s="205">
        <f t="shared" si="92"/>
        <v>-2.6026287127798975E-2</v>
      </c>
      <c r="M204" s="205">
        <f t="shared" si="92"/>
        <v>-1.6056517364203549E-2</v>
      </c>
      <c r="N204" s="205">
        <f t="shared" si="92"/>
        <v>-1.5074555076408092E-2</v>
      </c>
      <c r="O204" s="205">
        <f t="shared" si="92"/>
        <v>5.5531445556242787E-3</v>
      </c>
      <c r="P204" s="205">
        <f t="shared" si="92"/>
        <v>-1.2594492732031504E-2</v>
      </c>
      <c r="Q204" s="205">
        <f t="shared" si="92"/>
        <v>-0.10985235123537018</v>
      </c>
      <c r="R204" s="205">
        <f t="shared" si="92"/>
        <v>3.3097872532518835E-2</v>
      </c>
      <c r="S204" s="205">
        <f t="shared" si="92"/>
        <v>3.3641173665900359E-2</v>
      </c>
      <c r="T204" s="205">
        <f t="shared" si="92"/>
        <v>3.4144798913652741E-2</v>
      </c>
      <c r="U204" s="205">
        <f t="shared" si="92"/>
        <v>2.8206471273539258E-2</v>
      </c>
      <c r="V204" s="205">
        <f t="shared" si="92"/>
        <v>0</v>
      </c>
      <c r="W204" s="205">
        <f t="shared" si="92"/>
        <v>0</v>
      </c>
      <c r="X204" s="205">
        <f t="shared" si="92"/>
        <v>0</v>
      </c>
      <c r="Y204" s="205">
        <f t="shared" si="92"/>
        <v>0</v>
      </c>
      <c r="Z204" s="205">
        <f t="shared" si="92"/>
        <v>0</v>
      </c>
      <c r="AA204" s="205">
        <f t="shared" si="92"/>
        <v>0</v>
      </c>
      <c r="AB204" s="205">
        <f t="shared" si="92"/>
        <v>0</v>
      </c>
      <c r="AC204" s="205">
        <f t="shared" si="92"/>
        <v>0</v>
      </c>
      <c r="AD204" s="205">
        <f t="shared" si="92"/>
        <v>0</v>
      </c>
      <c r="AE204" s="205">
        <f t="shared" si="92"/>
        <v>0</v>
      </c>
      <c r="AF204" s="205">
        <f t="shared" si="92"/>
        <v>0</v>
      </c>
      <c r="AG204" s="205">
        <f t="shared" si="92"/>
        <v>0</v>
      </c>
      <c r="AH204" s="205">
        <f t="shared" si="92"/>
        <v>0</v>
      </c>
      <c r="AI204" s="205">
        <f t="shared" si="92"/>
        <v>0</v>
      </c>
      <c r="AJ204" s="205">
        <f t="shared" si="92"/>
        <v>0</v>
      </c>
      <c r="AK204" s="205">
        <f t="shared" si="92"/>
        <v>0</v>
      </c>
      <c r="AL204" s="206">
        <f t="shared" si="92"/>
        <v>0</v>
      </c>
      <c r="AM204" s="175"/>
    </row>
    <row r="205" spans="1:39" s="85" customFormat="1" ht="24" outlineLevel="1">
      <c r="A205" s="375"/>
      <c r="B205" s="189"/>
      <c r="C205" s="189"/>
      <c r="D205" s="304" t="s">
        <v>439</v>
      </c>
      <c r="E205" s="207"/>
      <c r="F205" s="207"/>
      <c r="G205" s="416" t="s">
        <v>473</v>
      </c>
      <c r="H205" s="416" t="s">
        <v>472</v>
      </c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175"/>
    </row>
    <row r="206" spans="1:39" s="85" customFormat="1" outlineLevel="2">
      <c r="A206" s="375"/>
      <c r="B206" s="272"/>
      <c r="C206" s="272"/>
      <c r="D206" s="190" t="s">
        <v>26</v>
      </c>
      <c r="E206" s="393" t="s">
        <v>31</v>
      </c>
      <c r="F206" s="259">
        <f t="shared" ref="F206:AL211" si="93">+IF(F$219=0,"",F219-E219)</f>
        <v>-494792.74000000022</v>
      </c>
      <c r="G206" s="259">
        <f t="shared" si="93"/>
        <v>2555003.7600000016</v>
      </c>
      <c r="H206" s="260">
        <f t="shared" si="93"/>
        <v>89741.479999996722</v>
      </c>
      <c r="I206" s="280">
        <f t="shared" si="93"/>
        <v>563279.35000000149</v>
      </c>
      <c r="J206" s="281">
        <f t="shared" si="93"/>
        <v>1176454.25</v>
      </c>
      <c r="K206" s="281">
        <f t="shared" si="93"/>
        <v>-2650344</v>
      </c>
      <c r="L206" s="281">
        <f t="shared" si="93"/>
        <v>343950</v>
      </c>
      <c r="M206" s="281">
        <f t="shared" si="93"/>
        <v>293319</v>
      </c>
      <c r="N206" s="281">
        <f t="shared" si="93"/>
        <v>308118</v>
      </c>
      <c r="O206" s="281">
        <f t="shared" si="93"/>
        <v>223361</v>
      </c>
      <c r="P206" s="281">
        <f t="shared" si="93"/>
        <v>39063</v>
      </c>
      <c r="Q206" s="281">
        <f t="shared" si="93"/>
        <v>555234</v>
      </c>
      <c r="R206" s="281">
        <f t="shared" si="93"/>
        <v>571891</v>
      </c>
      <c r="S206" s="281">
        <f t="shared" si="93"/>
        <v>589048</v>
      </c>
      <c r="T206" s="281">
        <f t="shared" si="93"/>
        <v>606720</v>
      </c>
      <c r="U206" s="281">
        <f t="shared" si="93"/>
        <v>624921</v>
      </c>
      <c r="V206" s="281" t="str">
        <f t="shared" si="93"/>
        <v/>
      </c>
      <c r="W206" s="281" t="str">
        <f t="shared" si="93"/>
        <v/>
      </c>
      <c r="X206" s="281" t="str">
        <f t="shared" si="93"/>
        <v/>
      </c>
      <c r="Y206" s="281" t="str">
        <f t="shared" si="93"/>
        <v/>
      </c>
      <c r="Z206" s="281" t="str">
        <f t="shared" si="93"/>
        <v/>
      </c>
      <c r="AA206" s="281" t="str">
        <f t="shared" si="93"/>
        <v/>
      </c>
      <c r="AB206" s="281" t="str">
        <f t="shared" si="93"/>
        <v/>
      </c>
      <c r="AC206" s="281" t="str">
        <f t="shared" si="93"/>
        <v/>
      </c>
      <c r="AD206" s="281" t="str">
        <f t="shared" si="93"/>
        <v/>
      </c>
      <c r="AE206" s="281" t="str">
        <f t="shared" si="93"/>
        <v/>
      </c>
      <c r="AF206" s="281" t="str">
        <f t="shared" si="93"/>
        <v/>
      </c>
      <c r="AG206" s="281" t="str">
        <f t="shared" si="93"/>
        <v/>
      </c>
      <c r="AH206" s="281" t="str">
        <f t="shared" si="93"/>
        <v/>
      </c>
      <c r="AI206" s="281" t="str">
        <f t="shared" si="93"/>
        <v/>
      </c>
      <c r="AJ206" s="281" t="str">
        <f t="shared" si="93"/>
        <v/>
      </c>
      <c r="AK206" s="281" t="str">
        <f t="shared" si="93"/>
        <v/>
      </c>
      <c r="AL206" s="282" t="str">
        <f t="shared" si="93"/>
        <v/>
      </c>
      <c r="AM206" s="276"/>
    </row>
    <row r="207" spans="1:39" s="85" customFormat="1" ht="15" outlineLevel="2">
      <c r="A207" s="375"/>
      <c r="B207" s="189"/>
      <c r="C207" s="189"/>
      <c r="D207" s="193" t="s">
        <v>391</v>
      </c>
      <c r="E207" s="394" t="s">
        <v>31</v>
      </c>
      <c r="F207" s="264">
        <f t="shared" si="93"/>
        <v>-494792.74000000022</v>
      </c>
      <c r="G207" s="264">
        <f t="shared" si="93"/>
        <v>2555003.7600000016</v>
      </c>
      <c r="H207" s="265">
        <f t="shared" si="93"/>
        <v>89741.479999996722</v>
      </c>
      <c r="I207" s="212">
        <f t="shared" si="93"/>
        <v>-665163.64999999851</v>
      </c>
      <c r="J207" s="213">
        <f t="shared" si="93"/>
        <v>-745446.75</v>
      </c>
      <c r="K207" s="213">
        <f t="shared" si="93"/>
        <v>500000</v>
      </c>
      <c r="L207" s="213">
        <f t="shared" si="93"/>
        <v>343950</v>
      </c>
      <c r="M207" s="213">
        <f t="shared" si="93"/>
        <v>293319</v>
      </c>
      <c r="N207" s="213">
        <f t="shared" si="93"/>
        <v>308118</v>
      </c>
      <c r="O207" s="213">
        <f t="shared" si="93"/>
        <v>223361</v>
      </c>
      <c r="P207" s="213">
        <f t="shared" si="93"/>
        <v>39063</v>
      </c>
      <c r="Q207" s="213">
        <f t="shared" si="93"/>
        <v>555234</v>
      </c>
      <c r="R207" s="213">
        <f t="shared" si="93"/>
        <v>571891</v>
      </c>
      <c r="S207" s="213">
        <f t="shared" si="93"/>
        <v>589048</v>
      </c>
      <c r="T207" s="213">
        <f t="shared" si="93"/>
        <v>606720</v>
      </c>
      <c r="U207" s="213">
        <f t="shared" si="93"/>
        <v>624921</v>
      </c>
      <c r="V207" s="213" t="str">
        <f t="shared" si="93"/>
        <v/>
      </c>
      <c r="W207" s="213" t="str">
        <f t="shared" si="93"/>
        <v/>
      </c>
      <c r="X207" s="213" t="str">
        <f t="shared" si="93"/>
        <v/>
      </c>
      <c r="Y207" s="213" t="str">
        <f t="shared" si="93"/>
        <v/>
      </c>
      <c r="Z207" s="213" t="str">
        <f t="shared" si="93"/>
        <v/>
      </c>
      <c r="AA207" s="213" t="str">
        <f t="shared" si="93"/>
        <v/>
      </c>
      <c r="AB207" s="213" t="str">
        <f t="shared" si="93"/>
        <v/>
      </c>
      <c r="AC207" s="213" t="str">
        <f t="shared" si="93"/>
        <v/>
      </c>
      <c r="AD207" s="213" t="str">
        <f t="shared" si="93"/>
        <v/>
      </c>
      <c r="AE207" s="213" t="str">
        <f t="shared" si="93"/>
        <v/>
      </c>
      <c r="AF207" s="213" t="str">
        <f t="shared" si="93"/>
        <v/>
      </c>
      <c r="AG207" s="213" t="str">
        <f t="shared" si="93"/>
        <v/>
      </c>
      <c r="AH207" s="213" t="str">
        <f t="shared" si="93"/>
        <v/>
      </c>
      <c r="AI207" s="213" t="str">
        <f t="shared" si="93"/>
        <v/>
      </c>
      <c r="AJ207" s="213" t="str">
        <f t="shared" si="93"/>
        <v/>
      </c>
      <c r="AK207" s="213" t="str">
        <f t="shared" si="93"/>
        <v/>
      </c>
      <c r="AL207" s="214" t="str">
        <f t="shared" si="93"/>
        <v/>
      </c>
      <c r="AM207" s="175"/>
    </row>
    <row r="208" spans="1:39" s="85" customFormat="1" ht="15" outlineLevel="2">
      <c r="A208" s="375"/>
      <c r="B208" s="189"/>
      <c r="C208" s="189"/>
      <c r="D208" s="197" t="s">
        <v>392</v>
      </c>
      <c r="E208" s="395" t="s">
        <v>31</v>
      </c>
      <c r="F208" s="266">
        <f t="shared" si="93"/>
        <v>805000.65000000037</v>
      </c>
      <c r="G208" s="266">
        <f t="shared" si="93"/>
        <v>1599412.959999999</v>
      </c>
      <c r="H208" s="267">
        <f t="shared" si="93"/>
        <v>246763.3200000003</v>
      </c>
      <c r="I208" s="212">
        <f t="shared" si="93"/>
        <v>231509.25999999978</v>
      </c>
      <c r="J208" s="213">
        <f t="shared" si="93"/>
        <v>588852.5</v>
      </c>
      <c r="K208" s="213">
        <f t="shared" si="93"/>
        <v>500000</v>
      </c>
      <c r="L208" s="213">
        <f t="shared" si="93"/>
        <v>343950</v>
      </c>
      <c r="M208" s="213">
        <f t="shared" si="93"/>
        <v>293319</v>
      </c>
      <c r="N208" s="213">
        <f t="shared" si="93"/>
        <v>308118</v>
      </c>
      <c r="O208" s="213">
        <f t="shared" si="93"/>
        <v>223361</v>
      </c>
      <c r="P208" s="213">
        <f t="shared" si="93"/>
        <v>39063</v>
      </c>
      <c r="Q208" s="213">
        <f t="shared" si="93"/>
        <v>555234</v>
      </c>
      <c r="R208" s="213">
        <f t="shared" si="93"/>
        <v>571891</v>
      </c>
      <c r="S208" s="213">
        <f t="shared" si="93"/>
        <v>589048</v>
      </c>
      <c r="T208" s="213">
        <f t="shared" si="93"/>
        <v>606720</v>
      </c>
      <c r="U208" s="213">
        <f t="shared" si="93"/>
        <v>624921</v>
      </c>
      <c r="V208" s="213" t="str">
        <f t="shared" si="93"/>
        <v/>
      </c>
      <c r="W208" s="213" t="str">
        <f t="shared" si="93"/>
        <v/>
      </c>
      <c r="X208" s="213" t="str">
        <f t="shared" si="93"/>
        <v/>
      </c>
      <c r="Y208" s="213" t="str">
        <f t="shared" si="93"/>
        <v/>
      </c>
      <c r="Z208" s="213" t="str">
        <f t="shared" si="93"/>
        <v/>
      </c>
      <c r="AA208" s="213" t="str">
        <f t="shared" si="93"/>
        <v/>
      </c>
      <c r="AB208" s="213" t="str">
        <f t="shared" si="93"/>
        <v/>
      </c>
      <c r="AC208" s="213" t="str">
        <f t="shared" si="93"/>
        <v/>
      </c>
      <c r="AD208" s="213" t="str">
        <f t="shared" si="93"/>
        <v/>
      </c>
      <c r="AE208" s="213" t="str">
        <f t="shared" si="93"/>
        <v/>
      </c>
      <c r="AF208" s="213" t="str">
        <f t="shared" si="93"/>
        <v/>
      </c>
      <c r="AG208" s="213" t="str">
        <f t="shared" si="93"/>
        <v/>
      </c>
      <c r="AH208" s="213" t="str">
        <f t="shared" si="93"/>
        <v/>
      </c>
      <c r="AI208" s="213" t="str">
        <f t="shared" si="93"/>
        <v/>
      </c>
      <c r="AJ208" s="213" t="str">
        <f t="shared" si="93"/>
        <v/>
      </c>
      <c r="AK208" s="213" t="str">
        <f t="shared" si="93"/>
        <v/>
      </c>
      <c r="AL208" s="214" t="str">
        <f t="shared" si="93"/>
        <v/>
      </c>
      <c r="AM208" s="175"/>
    </row>
    <row r="209" spans="1:39" s="85" customFormat="1" ht="15" outlineLevel="2">
      <c r="A209" s="375"/>
      <c r="B209" s="189"/>
      <c r="C209" s="189"/>
      <c r="D209" s="197" t="s">
        <v>393</v>
      </c>
      <c r="E209" s="395" t="s">
        <v>31</v>
      </c>
      <c r="F209" s="266">
        <f t="shared" si="93"/>
        <v>-1299793.3899999999</v>
      </c>
      <c r="G209" s="266">
        <f t="shared" si="93"/>
        <v>955590.8</v>
      </c>
      <c r="H209" s="267">
        <f t="shared" si="93"/>
        <v>-157021.83999999985</v>
      </c>
      <c r="I209" s="212">
        <f t="shared" si="93"/>
        <v>-896672.91000000015</v>
      </c>
      <c r="J209" s="213">
        <f t="shared" si="93"/>
        <v>-1334299.25</v>
      </c>
      <c r="K209" s="213">
        <f t="shared" si="93"/>
        <v>0</v>
      </c>
      <c r="L209" s="213">
        <f t="shared" si="93"/>
        <v>0</v>
      </c>
      <c r="M209" s="213">
        <f t="shared" si="93"/>
        <v>0</v>
      </c>
      <c r="N209" s="213">
        <f t="shared" si="93"/>
        <v>0</v>
      </c>
      <c r="O209" s="213">
        <f t="shared" si="93"/>
        <v>0</v>
      </c>
      <c r="P209" s="213">
        <f t="shared" si="93"/>
        <v>0</v>
      </c>
      <c r="Q209" s="213">
        <f t="shared" si="93"/>
        <v>0</v>
      </c>
      <c r="R209" s="213">
        <f t="shared" si="93"/>
        <v>0</v>
      </c>
      <c r="S209" s="213">
        <f t="shared" si="93"/>
        <v>0</v>
      </c>
      <c r="T209" s="213">
        <f t="shared" si="93"/>
        <v>0</v>
      </c>
      <c r="U209" s="213">
        <f t="shared" si="93"/>
        <v>0</v>
      </c>
      <c r="V209" s="213" t="str">
        <f t="shared" si="93"/>
        <v/>
      </c>
      <c r="W209" s="213" t="str">
        <f t="shared" si="93"/>
        <v/>
      </c>
      <c r="X209" s="213" t="str">
        <f t="shared" si="93"/>
        <v/>
      </c>
      <c r="Y209" s="213" t="str">
        <f t="shared" si="93"/>
        <v/>
      </c>
      <c r="Z209" s="213" t="str">
        <f t="shared" si="93"/>
        <v/>
      </c>
      <c r="AA209" s="213" t="str">
        <f t="shared" si="93"/>
        <v/>
      </c>
      <c r="AB209" s="213" t="str">
        <f t="shared" si="93"/>
        <v/>
      </c>
      <c r="AC209" s="213" t="str">
        <f t="shared" si="93"/>
        <v/>
      </c>
      <c r="AD209" s="213" t="str">
        <f t="shared" si="93"/>
        <v/>
      </c>
      <c r="AE209" s="213" t="str">
        <f t="shared" si="93"/>
        <v/>
      </c>
      <c r="AF209" s="213" t="str">
        <f t="shared" si="93"/>
        <v/>
      </c>
      <c r="AG209" s="213" t="str">
        <f t="shared" si="93"/>
        <v/>
      </c>
      <c r="AH209" s="213" t="str">
        <f t="shared" si="93"/>
        <v/>
      </c>
      <c r="AI209" s="213" t="str">
        <f t="shared" si="93"/>
        <v/>
      </c>
      <c r="AJ209" s="213" t="str">
        <f t="shared" si="93"/>
        <v/>
      </c>
      <c r="AK209" s="213" t="str">
        <f t="shared" si="93"/>
        <v/>
      </c>
      <c r="AL209" s="214" t="str">
        <f t="shared" si="93"/>
        <v/>
      </c>
      <c r="AM209" s="175"/>
    </row>
    <row r="210" spans="1:39" s="85" customFormat="1" ht="24" outlineLevel="2">
      <c r="A210" s="375"/>
      <c r="B210" s="189"/>
      <c r="C210" s="189"/>
      <c r="D210" s="197" t="s">
        <v>394</v>
      </c>
      <c r="E210" s="395" t="s">
        <v>31</v>
      </c>
      <c r="F210" s="266">
        <f t="shared" si="93"/>
        <v>-1331945.5999999996</v>
      </c>
      <c r="G210" s="266">
        <f t="shared" si="93"/>
        <v>820681</v>
      </c>
      <c r="H210" s="267">
        <f t="shared" si="93"/>
        <v>-92747.619999999646</v>
      </c>
      <c r="I210" s="212">
        <f t="shared" si="93"/>
        <v>-2320947.1300000004</v>
      </c>
      <c r="J210" s="213">
        <f t="shared" si="93"/>
        <v>-14299.25</v>
      </c>
      <c r="K210" s="213">
        <f t="shared" si="93"/>
        <v>0</v>
      </c>
      <c r="L210" s="213">
        <f t="shared" si="93"/>
        <v>0</v>
      </c>
      <c r="M210" s="213">
        <f t="shared" si="93"/>
        <v>0</v>
      </c>
      <c r="N210" s="213">
        <f t="shared" si="93"/>
        <v>0</v>
      </c>
      <c r="O210" s="213">
        <f t="shared" si="93"/>
        <v>0</v>
      </c>
      <c r="P210" s="213">
        <f t="shared" si="93"/>
        <v>0</v>
      </c>
      <c r="Q210" s="213">
        <f t="shared" si="93"/>
        <v>0</v>
      </c>
      <c r="R210" s="213">
        <f t="shared" si="93"/>
        <v>0</v>
      </c>
      <c r="S210" s="213">
        <f t="shared" si="93"/>
        <v>0</v>
      </c>
      <c r="T210" s="213">
        <f t="shared" si="93"/>
        <v>0</v>
      </c>
      <c r="U210" s="213">
        <f t="shared" si="93"/>
        <v>0</v>
      </c>
      <c r="V210" s="213" t="str">
        <f t="shared" si="93"/>
        <v/>
      </c>
      <c r="W210" s="213" t="str">
        <f t="shared" si="93"/>
        <v/>
      </c>
      <c r="X210" s="213" t="str">
        <f t="shared" si="93"/>
        <v/>
      </c>
      <c r="Y210" s="213" t="str">
        <f t="shared" si="93"/>
        <v/>
      </c>
      <c r="Z210" s="213" t="str">
        <f t="shared" si="93"/>
        <v/>
      </c>
      <c r="AA210" s="213" t="str">
        <f t="shared" si="93"/>
        <v/>
      </c>
      <c r="AB210" s="213" t="str">
        <f t="shared" si="93"/>
        <v/>
      </c>
      <c r="AC210" s="213" t="str">
        <f t="shared" si="93"/>
        <v/>
      </c>
      <c r="AD210" s="213" t="str">
        <f t="shared" si="93"/>
        <v/>
      </c>
      <c r="AE210" s="213" t="str">
        <f t="shared" si="93"/>
        <v/>
      </c>
      <c r="AF210" s="213" t="str">
        <f t="shared" si="93"/>
        <v/>
      </c>
      <c r="AG210" s="213" t="str">
        <f t="shared" si="93"/>
        <v/>
      </c>
      <c r="AH210" s="213" t="str">
        <f t="shared" si="93"/>
        <v/>
      </c>
      <c r="AI210" s="213" t="str">
        <f t="shared" si="93"/>
        <v/>
      </c>
      <c r="AJ210" s="213" t="str">
        <f t="shared" si="93"/>
        <v/>
      </c>
      <c r="AK210" s="213" t="str">
        <f t="shared" si="93"/>
        <v/>
      </c>
      <c r="AL210" s="214" t="str">
        <f t="shared" si="93"/>
        <v/>
      </c>
      <c r="AM210" s="175"/>
    </row>
    <row r="211" spans="1:39" s="85" customFormat="1" ht="15" outlineLevel="2">
      <c r="A211" s="375"/>
      <c r="B211" s="189"/>
      <c r="C211" s="189"/>
      <c r="D211" s="198" t="s">
        <v>36</v>
      </c>
      <c r="E211" s="396" t="s">
        <v>31</v>
      </c>
      <c r="F211" s="268">
        <f t="shared" si="93"/>
        <v>32152.209999999992</v>
      </c>
      <c r="G211" s="268">
        <f t="shared" si="93"/>
        <v>134909.79999999999</v>
      </c>
      <c r="H211" s="269">
        <f t="shared" si="93"/>
        <v>-64274.22</v>
      </c>
      <c r="I211" s="215">
        <f t="shared" si="93"/>
        <v>1424274.22</v>
      </c>
      <c r="J211" s="216">
        <f t="shared" si="93"/>
        <v>-1320000</v>
      </c>
      <c r="K211" s="216">
        <f t="shared" si="93"/>
        <v>0</v>
      </c>
      <c r="L211" s="216">
        <f t="shared" si="93"/>
        <v>0</v>
      </c>
      <c r="M211" s="216">
        <f t="shared" si="93"/>
        <v>0</v>
      </c>
      <c r="N211" s="216">
        <f t="shared" si="93"/>
        <v>0</v>
      </c>
      <c r="O211" s="216">
        <f t="shared" si="93"/>
        <v>0</v>
      </c>
      <c r="P211" s="216">
        <f t="shared" si="93"/>
        <v>0</v>
      </c>
      <c r="Q211" s="216">
        <f t="shared" si="93"/>
        <v>0</v>
      </c>
      <c r="R211" s="216">
        <f t="shared" si="93"/>
        <v>0</v>
      </c>
      <c r="S211" s="216">
        <f t="shared" si="93"/>
        <v>0</v>
      </c>
      <c r="T211" s="216">
        <f t="shared" si="93"/>
        <v>0</v>
      </c>
      <c r="U211" s="216">
        <f t="shared" si="93"/>
        <v>0</v>
      </c>
      <c r="V211" s="216" t="str">
        <f t="shared" si="93"/>
        <v/>
      </c>
      <c r="W211" s="216" t="str">
        <f t="shared" si="93"/>
        <v/>
      </c>
      <c r="X211" s="216" t="str">
        <f t="shared" si="93"/>
        <v/>
      </c>
      <c r="Y211" s="216" t="str">
        <f t="shared" si="93"/>
        <v/>
      </c>
      <c r="Z211" s="216" t="str">
        <f t="shared" si="93"/>
        <v/>
      </c>
      <c r="AA211" s="216" t="str">
        <f t="shared" si="93"/>
        <v/>
      </c>
      <c r="AB211" s="216" t="str">
        <f t="shared" si="93"/>
        <v/>
      </c>
      <c r="AC211" s="216" t="str">
        <f t="shared" si="93"/>
        <v/>
      </c>
      <c r="AD211" s="216" t="str">
        <f t="shared" si="93"/>
        <v/>
      </c>
      <c r="AE211" s="216" t="str">
        <f t="shared" si="93"/>
        <v/>
      </c>
      <c r="AF211" s="216" t="str">
        <f t="shared" si="93"/>
        <v/>
      </c>
      <c r="AG211" s="216" t="str">
        <f t="shared" si="93"/>
        <v/>
      </c>
      <c r="AH211" s="216" t="str">
        <f t="shared" si="93"/>
        <v/>
      </c>
      <c r="AI211" s="216" t="str">
        <f t="shared" si="93"/>
        <v/>
      </c>
      <c r="AJ211" s="216" t="str">
        <f t="shared" si="93"/>
        <v/>
      </c>
      <c r="AK211" s="216" t="str">
        <f t="shared" si="93"/>
        <v/>
      </c>
      <c r="AL211" s="217" t="str">
        <f t="shared" si="93"/>
        <v/>
      </c>
      <c r="AM211" s="175"/>
    </row>
    <row r="212" spans="1:39" s="85" customFormat="1" outlineLevel="2">
      <c r="A212" s="375"/>
      <c r="B212" s="272"/>
      <c r="C212" s="272"/>
      <c r="D212" s="190" t="s">
        <v>21</v>
      </c>
      <c r="E212" s="393" t="s">
        <v>31</v>
      </c>
      <c r="F212" s="259">
        <f t="shared" ref="F212:AL217" si="94">+IF(F$225=0,"",F225-E225)</f>
        <v>3502179.1900000013</v>
      </c>
      <c r="G212" s="259">
        <f t="shared" si="94"/>
        <v>-1610020.0799999982</v>
      </c>
      <c r="H212" s="260">
        <f t="shared" si="94"/>
        <v>-2248108.820000004</v>
      </c>
      <c r="I212" s="280">
        <f t="shared" si="94"/>
        <v>1912110.6500000022</v>
      </c>
      <c r="J212" s="281">
        <f t="shared" si="94"/>
        <v>-1127545.75</v>
      </c>
      <c r="K212" s="281">
        <f t="shared" si="94"/>
        <v>-1693344</v>
      </c>
      <c r="L212" s="281">
        <f t="shared" si="94"/>
        <v>43950</v>
      </c>
      <c r="M212" s="281">
        <f t="shared" si="94"/>
        <v>93319</v>
      </c>
      <c r="N212" s="281">
        <f t="shared" si="94"/>
        <v>308118</v>
      </c>
      <c r="O212" s="281">
        <f t="shared" si="94"/>
        <v>-376639</v>
      </c>
      <c r="P212" s="281">
        <f t="shared" si="94"/>
        <v>-60937</v>
      </c>
      <c r="Q212" s="281">
        <f t="shared" si="94"/>
        <v>655234</v>
      </c>
      <c r="R212" s="281">
        <f t="shared" si="94"/>
        <v>441891</v>
      </c>
      <c r="S212" s="281">
        <f t="shared" si="94"/>
        <v>409048</v>
      </c>
      <c r="T212" s="281">
        <f t="shared" si="94"/>
        <v>568720</v>
      </c>
      <c r="U212" s="281">
        <f t="shared" si="94"/>
        <v>1429921</v>
      </c>
      <c r="V212" s="281" t="str">
        <f t="shared" si="94"/>
        <v/>
      </c>
      <c r="W212" s="281" t="str">
        <f t="shared" si="94"/>
        <v/>
      </c>
      <c r="X212" s="281" t="str">
        <f t="shared" si="94"/>
        <v/>
      </c>
      <c r="Y212" s="281" t="str">
        <f t="shared" si="94"/>
        <v/>
      </c>
      <c r="Z212" s="281" t="str">
        <f t="shared" si="94"/>
        <v/>
      </c>
      <c r="AA212" s="281" t="str">
        <f t="shared" si="94"/>
        <v/>
      </c>
      <c r="AB212" s="281" t="str">
        <f t="shared" si="94"/>
        <v/>
      </c>
      <c r="AC212" s="281" t="str">
        <f t="shared" si="94"/>
        <v/>
      </c>
      <c r="AD212" s="281" t="str">
        <f t="shared" si="94"/>
        <v/>
      </c>
      <c r="AE212" s="281" t="str">
        <f t="shared" si="94"/>
        <v/>
      </c>
      <c r="AF212" s="281" t="str">
        <f t="shared" si="94"/>
        <v/>
      </c>
      <c r="AG212" s="281" t="str">
        <f t="shared" si="94"/>
        <v/>
      </c>
      <c r="AH212" s="281" t="str">
        <f t="shared" si="94"/>
        <v/>
      </c>
      <c r="AI212" s="281" t="str">
        <f t="shared" si="94"/>
        <v/>
      </c>
      <c r="AJ212" s="281" t="str">
        <f t="shared" si="94"/>
        <v/>
      </c>
      <c r="AK212" s="281" t="str">
        <f t="shared" si="94"/>
        <v/>
      </c>
      <c r="AL212" s="282" t="str">
        <f t="shared" si="94"/>
        <v/>
      </c>
      <c r="AM212" s="276"/>
    </row>
    <row r="213" spans="1:39" s="85" customFormat="1" ht="15" outlineLevel="2">
      <c r="A213" s="375"/>
      <c r="B213" s="189"/>
      <c r="C213" s="189"/>
      <c r="D213" s="202" t="s">
        <v>390</v>
      </c>
      <c r="E213" s="395" t="s">
        <v>31</v>
      </c>
      <c r="F213" s="266">
        <f t="shared" si="94"/>
        <v>3502179.1900000013</v>
      </c>
      <c r="G213" s="266">
        <f t="shared" si="94"/>
        <v>-1610020.0799999982</v>
      </c>
      <c r="H213" s="267">
        <f t="shared" si="94"/>
        <v>-2248108.820000004</v>
      </c>
      <c r="I213" s="212">
        <f t="shared" si="94"/>
        <v>-956480.34999999776</v>
      </c>
      <c r="J213" s="213">
        <f t="shared" si="94"/>
        <v>-134206.75</v>
      </c>
      <c r="K213" s="213">
        <f t="shared" si="94"/>
        <v>181908</v>
      </c>
      <c r="L213" s="213">
        <f t="shared" si="94"/>
        <v>43950</v>
      </c>
      <c r="M213" s="213">
        <f t="shared" si="94"/>
        <v>93319</v>
      </c>
      <c r="N213" s="213">
        <f t="shared" si="94"/>
        <v>308118</v>
      </c>
      <c r="O213" s="213">
        <f t="shared" si="94"/>
        <v>-376639</v>
      </c>
      <c r="P213" s="213">
        <f t="shared" si="94"/>
        <v>-60937</v>
      </c>
      <c r="Q213" s="213">
        <f t="shared" si="94"/>
        <v>655234</v>
      </c>
      <c r="R213" s="213">
        <f t="shared" si="94"/>
        <v>441891</v>
      </c>
      <c r="S213" s="213">
        <f t="shared" si="94"/>
        <v>409048</v>
      </c>
      <c r="T213" s="213">
        <f t="shared" si="94"/>
        <v>568720</v>
      </c>
      <c r="U213" s="213">
        <f t="shared" si="94"/>
        <v>1429921</v>
      </c>
      <c r="V213" s="213" t="str">
        <f t="shared" si="94"/>
        <v/>
      </c>
      <c r="W213" s="213" t="str">
        <f t="shared" si="94"/>
        <v/>
      </c>
      <c r="X213" s="213" t="str">
        <f t="shared" si="94"/>
        <v/>
      </c>
      <c r="Y213" s="213" t="str">
        <f t="shared" si="94"/>
        <v/>
      </c>
      <c r="Z213" s="213" t="str">
        <f t="shared" si="94"/>
        <v/>
      </c>
      <c r="AA213" s="213" t="str">
        <f t="shared" si="94"/>
        <v/>
      </c>
      <c r="AB213" s="213" t="str">
        <f t="shared" si="94"/>
        <v/>
      </c>
      <c r="AC213" s="213" t="str">
        <f t="shared" si="94"/>
        <v/>
      </c>
      <c r="AD213" s="213" t="str">
        <f t="shared" si="94"/>
        <v/>
      </c>
      <c r="AE213" s="213" t="str">
        <f t="shared" si="94"/>
        <v/>
      </c>
      <c r="AF213" s="213" t="str">
        <f t="shared" si="94"/>
        <v/>
      </c>
      <c r="AG213" s="213" t="str">
        <f t="shared" si="94"/>
        <v/>
      </c>
      <c r="AH213" s="213" t="str">
        <f t="shared" si="94"/>
        <v/>
      </c>
      <c r="AI213" s="213" t="str">
        <f t="shared" si="94"/>
        <v/>
      </c>
      <c r="AJ213" s="213" t="str">
        <f t="shared" si="94"/>
        <v/>
      </c>
      <c r="AK213" s="213" t="str">
        <f t="shared" si="94"/>
        <v/>
      </c>
      <c r="AL213" s="214" t="str">
        <f t="shared" si="94"/>
        <v/>
      </c>
      <c r="AM213" s="175"/>
    </row>
    <row r="214" spans="1:39" s="85" customFormat="1" outlineLevel="2">
      <c r="A214" s="375"/>
      <c r="B214" s="272"/>
      <c r="C214" s="272"/>
      <c r="D214" s="203" t="s">
        <v>37</v>
      </c>
      <c r="E214" s="397" t="s">
        <v>31</v>
      </c>
      <c r="F214" s="270">
        <f t="shared" si="94"/>
        <v>-62501.11999999918</v>
      </c>
      <c r="G214" s="270">
        <f t="shared" si="94"/>
        <v>1704340.4399999995</v>
      </c>
      <c r="H214" s="271">
        <f t="shared" si="94"/>
        <v>-359264.3900000006</v>
      </c>
      <c r="I214" s="283">
        <f t="shared" si="94"/>
        <v>1414853.9700000007</v>
      </c>
      <c r="J214" s="284">
        <f t="shared" si="94"/>
        <v>-608134.5</v>
      </c>
      <c r="K214" s="284">
        <f t="shared" si="94"/>
        <v>690</v>
      </c>
      <c r="L214" s="284">
        <f t="shared" si="94"/>
        <v>72860</v>
      </c>
      <c r="M214" s="284">
        <f t="shared" si="94"/>
        <v>187396</v>
      </c>
      <c r="N214" s="284">
        <f t="shared" si="94"/>
        <v>207308</v>
      </c>
      <c r="O214" s="284">
        <f t="shared" si="94"/>
        <v>320607</v>
      </c>
      <c r="P214" s="284">
        <f t="shared" si="94"/>
        <v>198305</v>
      </c>
      <c r="Q214" s="284">
        <f t="shared" si="94"/>
        <v>-293585</v>
      </c>
      <c r="R214" s="284">
        <f t="shared" si="94"/>
        <v>426946</v>
      </c>
      <c r="S214" s="284">
        <f t="shared" si="94"/>
        <v>433915</v>
      </c>
      <c r="T214" s="284">
        <f t="shared" si="94"/>
        <v>439334</v>
      </c>
      <c r="U214" s="284">
        <f t="shared" si="94"/>
        <v>452212</v>
      </c>
      <c r="V214" s="284" t="str">
        <f t="shared" si="94"/>
        <v/>
      </c>
      <c r="W214" s="284" t="str">
        <f t="shared" si="94"/>
        <v/>
      </c>
      <c r="X214" s="284" t="str">
        <f t="shared" si="94"/>
        <v/>
      </c>
      <c r="Y214" s="284" t="str">
        <f t="shared" si="94"/>
        <v/>
      </c>
      <c r="Z214" s="284" t="str">
        <f t="shared" si="94"/>
        <v/>
      </c>
      <c r="AA214" s="284" t="str">
        <f t="shared" si="94"/>
        <v/>
      </c>
      <c r="AB214" s="284" t="str">
        <f t="shared" si="94"/>
        <v/>
      </c>
      <c r="AC214" s="284" t="str">
        <f t="shared" si="94"/>
        <v/>
      </c>
      <c r="AD214" s="284" t="str">
        <f t="shared" si="94"/>
        <v/>
      </c>
      <c r="AE214" s="284" t="str">
        <f t="shared" si="94"/>
        <v/>
      </c>
      <c r="AF214" s="284" t="str">
        <f t="shared" si="94"/>
        <v/>
      </c>
      <c r="AG214" s="284" t="str">
        <f t="shared" si="94"/>
        <v/>
      </c>
      <c r="AH214" s="284" t="str">
        <f t="shared" si="94"/>
        <v/>
      </c>
      <c r="AI214" s="284" t="str">
        <f t="shared" si="94"/>
        <v/>
      </c>
      <c r="AJ214" s="284" t="str">
        <f t="shared" si="94"/>
        <v/>
      </c>
      <c r="AK214" s="284" t="str">
        <f t="shared" si="94"/>
        <v/>
      </c>
      <c r="AL214" s="285" t="str">
        <f t="shared" si="94"/>
        <v/>
      </c>
      <c r="AM214" s="276"/>
    </row>
    <row r="215" spans="1:39" s="85" customFormat="1" ht="15" outlineLevel="2">
      <c r="A215" s="375"/>
      <c r="B215" s="189"/>
      <c r="C215" s="189"/>
      <c r="D215" s="197" t="s">
        <v>39</v>
      </c>
      <c r="E215" s="395" t="s">
        <v>31</v>
      </c>
      <c r="F215" s="266">
        <f t="shared" si="94"/>
        <v>-62501.11999999918</v>
      </c>
      <c r="G215" s="266">
        <f t="shared" si="94"/>
        <v>1704340.4399999995</v>
      </c>
      <c r="H215" s="267">
        <f t="shared" si="94"/>
        <v>-359264.3900000006</v>
      </c>
      <c r="I215" s="212">
        <f t="shared" si="94"/>
        <v>1013382.9700000007</v>
      </c>
      <c r="J215" s="213">
        <f t="shared" si="94"/>
        <v>-229673.5</v>
      </c>
      <c r="K215" s="213">
        <f t="shared" si="94"/>
        <v>23700</v>
      </c>
      <c r="L215" s="213">
        <f t="shared" si="94"/>
        <v>72860</v>
      </c>
      <c r="M215" s="213">
        <f t="shared" si="94"/>
        <v>187396</v>
      </c>
      <c r="N215" s="213">
        <f t="shared" si="94"/>
        <v>207308</v>
      </c>
      <c r="O215" s="213">
        <f t="shared" si="94"/>
        <v>320607</v>
      </c>
      <c r="P215" s="213">
        <f t="shared" si="94"/>
        <v>198305</v>
      </c>
      <c r="Q215" s="213">
        <f t="shared" si="94"/>
        <v>-293585</v>
      </c>
      <c r="R215" s="213">
        <f t="shared" si="94"/>
        <v>426946</v>
      </c>
      <c r="S215" s="213">
        <f t="shared" si="94"/>
        <v>433915</v>
      </c>
      <c r="T215" s="213">
        <f t="shared" si="94"/>
        <v>439334</v>
      </c>
      <c r="U215" s="213">
        <f t="shared" si="94"/>
        <v>452212</v>
      </c>
      <c r="V215" s="213" t="str">
        <f t="shared" si="94"/>
        <v/>
      </c>
      <c r="W215" s="213" t="str">
        <f t="shared" si="94"/>
        <v/>
      </c>
      <c r="X215" s="213" t="str">
        <f t="shared" si="94"/>
        <v/>
      </c>
      <c r="Y215" s="213" t="str">
        <f t="shared" si="94"/>
        <v/>
      </c>
      <c r="Z215" s="213" t="str">
        <f t="shared" si="94"/>
        <v/>
      </c>
      <c r="AA215" s="213" t="str">
        <f t="shared" si="94"/>
        <v/>
      </c>
      <c r="AB215" s="213" t="str">
        <f t="shared" si="94"/>
        <v/>
      </c>
      <c r="AC215" s="213" t="str">
        <f t="shared" si="94"/>
        <v/>
      </c>
      <c r="AD215" s="213" t="str">
        <f t="shared" si="94"/>
        <v/>
      </c>
      <c r="AE215" s="213" t="str">
        <f t="shared" si="94"/>
        <v/>
      </c>
      <c r="AF215" s="213" t="str">
        <f t="shared" si="94"/>
        <v/>
      </c>
      <c r="AG215" s="213" t="str">
        <f t="shared" si="94"/>
        <v/>
      </c>
      <c r="AH215" s="213" t="str">
        <f t="shared" si="94"/>
        <v/>
      </c>
      <c r="AI215" s="213" t="str">
        <f t="shared" si="94"/>
        <v/>
      </c>
      <c r="AJ215" s="213" t="str">
        <f t="shared" si="94"/>
        <v/>
      </c>
      <c r="AK215" s="213" t="str">
        <f t="shared" si="94"/>
        <v/>
      </c>
      <c r="AL215" s="214" t="str">
        <f t="shared" si="94"/>
        <v/>
      </c>
      <c r="AM215" s="175"/>
    </row>
    <row r="216" spans="1:39" s="85" customFormat="1" ht="15" outlineLevel="2">
      <c r="A216" s="375"/>
      <c r="B216" s="189"/>
      <c r="C216" s="189"/>
      <c r="D216" s="197" t="s">
        <v>38</v>
      </c>
      <c r="E216" s="395" t="s">
        <v>31</v>
      </c>
      <c r="F216" s="266">
        <f t="shared" si="94"/>
        <v>5923327</v>
      </c>
      <c r="G216" s="266">
        <f t="shared" si="94"/>
        <v>630063.08999999985</v>
      </c>
      <c r="H216" s="267">
        <f t="shared" si="94"/>
        <v>-100000</v>
      </c>
      <c r="I216" s="212">
        <f t="shared" si="94"/>
        <v>328897.96999999974</v>
      </c>
      <c r="J216" s="213">
        <f t="shared" si="94"/>
        <v>-23480.05999999959</v>
      </c>
      <c r="K216" s="213">
        <f t="shared" si="94"/>
        <v>202765</v>
      </c>
      <c r="L216" s="213">
        <f t="shared" si="94"/>
        <v>208847</v>
      </c>
      <c r="M216" s="213">
        <f t="shared" si="94"/>
        <v>215112</v>
      </c>
      <c r="N216" s="213">
        <f t="shared" si="94"/>
        <v>221566</v>
      </c>
      <c r="O216" s="213">
        <f t="shared" si="94"/>
        <v>228213</v>
      </c>
      <c r="P216" s="213">
        <f t="shared" si="94"/>
        <v>235060</v>
      </c>
      <c r="Q216" s="213">
        <f t="shared" si="94"/>
        <v>242111</v>
      </c>
      <c r="R216" s="213">
        <f t="shared" si="94"/>
        <v>249374</v>
      </c>
      <c r="S216" s="213">
        <f t="shared" si="94"/>
        <v>256856</v>
      </c>
      <c r="T216" s="213">
        <f t="shared" si="94"/>
        <v>264561</v>
      </c>
      <c r="U216" s="213">
        <f t="shared" si="94"/>
        <v>272498</v>
      </c>
      <c r="V216" s="213" t="str">
        <f t="shared" si="94"/>
        <v/>
      </c>
      <c r="W216" s="213" t="str">
        <f t="shared" si="94"/>
        <v/>
      </c>
      <c r="X216" s="213" t="str">
        <f t="shared" si="94"/>
        <v/>
      </c>
      <c r="Y216" s="213" t="str">
        <f t="shared" si="94"/>
        <v/>
      </c>
      <c r="Z216" s="213" t="str">
        <f t="shared" si="94"/>
        <v/>
      </c>
      <c r="AA216" s="213" t="str">
        <f t="shared" si="94"/>
        <v/>
      </c>
      <c r="AB216" s="213" t="str">
        <f t="shared" si="94"/>
        <v/>
      </c>
      <c r="AC216" s="213" t="str">
        <f t="shared" si="94"/>
        <v/>
      </c>
      <c r="AD216" s="213" t="str">
        <f t="shared" si="94"/>
        <v/>
      </c>
      <c r="AE216" s="213" t="str">
        <f t="shared" si="94"/>
        <v/>
      </c>
      <c r="AF216" s="213" t="str">
        <f t="shared" si="94"/>
        <v/>
      </c>
      <c r="AG216" s="213" t="str">
        <f t="shared" si="94"/>
        <v/>
      </c>
      <c r="AH216" s="213" t="str">
        <f t="shared" si="94"/>
        <v/>
      </c>
      <c r="AI216" s="213" t="str">
        <f t="shared" si="94"/>
        <v/>
      </c>
      <c r="AJ216" s="213" t="str">
        <f t="shared" si="94"/>
        <v/>
      </c>
      <c r="AK216" s="213" t="str">
        <f t="shared" si="94"/>
        <v/>
      </c>
      <c r="AL216" s="214" t="str">
        <f t="shared" si="94"/>
        <v/>
      </c>
      <c r="AM216" s="175"/>
    </row>
    <row r="217" spans="1:39" s="85" customFormat="1" ht="24" outlineLevel="2">
      <c r="A217" s="375"/>
      <c r="B217" s="189"/>
      <c r="C217" s="189"/>
      <c r="D217" s="198" t="s">
        <v>389</v>
      </c>
      <c r="E217" s="396" t="s">
        <v>31</v>
      </c>
      <c r="F217" s="268">
        <f t="shared" si="94"/>
        <v>-6412224.3299999982</v>
      </c>
      <c r="G217" s="268">
        <f t="shared" si="94"/>
        <v>3216051.1999999993</v>
      </c>
      <c r="H217" s="269">
        <f t="shared" si="94"/>
        <v>-2862460.120000001</v>
      </c>
      <c r="I217" s="215">
        <f t="shared" si="94"/>
        <v>414490.73000000231</v>
      </c>
      <c r="J217" s="216">
        <f t="shared" si="94"/>
        <v>-380873.44000000134</v>
      </c>
      <c r="K217" s="216">
        <f t="shared" si="94"/>
        <v>-347075</v>
      </c>
      <c r="L217" s="216">
        <f t="shared" si="94"/>
        <v>-140987</v>
      </c>
      <c r="M217" s="216">
        <f t="shared" si="94"/>
        <v>-84716</v>
      </c>
      <c r="N217" s="216">
        <f t="shared" si="94"/>
        <v>-78258</v>
      </c>
      <c r="O217" s="216">
        <f t="shared" si="94"/>
        <v>28394</v>
      </c>
      <c r="P217" s="216">
        <f t="shared" si="94"/>
        <v>-64755</v>
      </c>
      <c r="Q217" s="216">
        <f t="shared" si="94"/>
        <v>-557696</v>
      </c>
      <c r="R217" s="216">
        <f t="shared" si="94"/>
        <v>149572</v>
      </c>
      <c r="S217" s="216">
        <f t="shared" si="94"/>
        <v>157059</v>
      </c>
      <c r="T217" s="216">
        <f t="shared" si="94"/>
        <v>164773</v>
      </c>
      <c r="U217" s="216">
        <f t="shared" si="94"/>
        <v>140764</v>
      </c>
      <c r="V217" s="216" t="str">
        <f t="shared" si="94"/>
        <v/>
      </c>
      <c r="W217" s="216" t="str">
        <f t="shared" si="94"/>
        <v/>
      </c>
      <c r="X217" s="216" t="str">
        <f t="shared" si="94"/>
        <v/>
      </c>
      <c r="Y217" s="216" t="str">
        <f t="shared" si="94"/>
        <v/>
      </c>
      <c r="Z217" s="216" t="str">
        <f t="shared" si="94"/>
        <v/>
      </c>
      <c r="AA217" s="216" t="str">
        <f t="shared" si="94"/>
        <v/>
      </c>
      <c r="AB217" s="216" t="str">
        <f t="shared" si="94"/>
        <v/>
      </c>
      <c r="AC217" s="216" t="str">
        <f t="shared" si="94"/>
        <v/>
      </c>
      <c r="AD217" s="216" t="str">
        <f t="shared" si="94"/>
        <v/>
      </c>
      <c r="AE217" s="216" t="str">
        <f t="shared" si="94"/>
        <v/>
      </c>
      <c r="AF217" s="216" t="str">
        <f t="shared" si="94"/>
        <v/>
      </c>
      <c r="AG217" s="216" t="str">
        <f t="shared" si="94"/>
        <v/>
      </c>
      <c r="AH217" s="216" t="str">
        <f t="shared" si="94"/>
        <v/>
      </c>
      <c r="AI217" s="216" t="str">
        <f t="shared" si="94"/>
        <v/>
      </c>
      <c r="AJ217" s="216" t="str">
        <f t="shared" si="94"/>
        <v/>
      </c>
      <c r="AK217" s="216" t="str">
        <f t="shared" si="94"/>
        <v/>
      </c>
      <c r="AL217" s="217" t="str">
        <f t="shared" si="94"/>
        <v/>
      </c>
      <c r="AM217" s="175"/>
    </row>
    <row r="218" spans="1:39" s="85" customFormat="1" ht="15" outlineLevel="1">
      <c r="A218" s="375"/>
      <c r="B218" s="189"/>
      <c r="C218" s="189"/>
      <c r="D218" s="304" t="s">
        <v>441</v>
      </c>
      <c r="E218" s="207"/>
      <c r="F218" s="207"/>
      <c r="G218" s="207"/>
      <c r="H218" s="207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175"/>
    </row>
    <row r="219" spans="1:39" s="85" customFormat="1" outlineLevel="2">
      <c r="A219" s="375"/>
      <c r="B219" s="272"/>
      <c r="C219" s="272"/>
      <c r="D219" s="190" t="s">
        <v>26</v>
      </c>
      <c r="E219" s="209">
        <f>+E10</f>
        <v>16360657.9</v>
      </c>
      <c r="F219" s="210">
        <f>+F10</f>
        <v>15865865.16</v>
      </c>
      <c r="G219" s="210">
        <f>+G10</f>
        <v>18420868.920000002</v>
      </c>
      <c r="H219" s="211">
        <f>+H10</f>
        <v>18510610.399999999</v>
      </c>
      <c r="I219" s="280">
        <f t="shared" ref="I219:AK219" si="95">+I10</f>
        <v>19073889.75</v>
      </c>
      <c r="J219" s="281">
        <f t="shared" si="95"/>
        <v>20250344</v>
      </c>
      <c r="K219" s="281">
        <f t="shared" si="95"/>
        <v>17600000</v>
      </c>
      <c r="L219" s="281">
        <f t="shared" si="95"/>
        <v>17943950</v>
      </c>
      <c r="M219" s="281">
        <f t="shared" si="95"/>
        <v>18237269</v>
      </c>
      <c r="N219" s="281">
        <f t="shared" si="95"/>
        <v>18545387</v>
      </c>
      <c r="O219" s="281">
        <f t="shared" si="95"/>
        <v>18768748</v>
      </c>
      <c r="P219" s="281">
        <f t="shared" si="95"/>
        <v>18807811</v>
      </c>
      <c r="Q219" s="281">
        <f t="shared" si="95"/>
        <v>19363045</v>
      </c>
      <c r="R219" s="281">
        <f t="shared" si="95"/>
        <v>19934936</v>
      </c>
      <c r="S219" s="281">
        <f t="shared" si="95"/>
        <v>20523984</v>
      </c>
      <c r="T219" s="281">
        <f t="shared" si="95"/>
        <v>21130704</v>
      </c>
      <c r="U219" s="281">
        <f t="shared" si="95"/>
        <v>21755625</v>
      </c>
      <c r="V219" s="281">
        <f t="shared" si="95"/>
        <v>0</v>
      </c>
      <c r="W219" s="281">
        <f t="shared" si="95"/>
        <v>0</v>
      </c>
      <c r="X219" s="281">
        <f t="shared" si="95"/>
        <v>0</v>
      </c>
      <c r="Y219" s="281">
        <f t="shared" si="95"/>
        <v>0</v>
      </c>
      <c r="Z219" s="281">
        <f t="shared" si="95"/>
        <v>0</v>
      </c>
      <c r="AA219" s="281">
        <f t="shared" si="95"/>
        <v>0</v>
      </c>
      <c r="AB219" s="281">
        <f t="shared" si="95"/>
        <v>0</v>
      </c>
      <c r="AC219" s="281">
        <f t="shared" si="95"/>
        <v>0</v>
      </c>
      <c r="AD219" s="281">
        <f t="shared" si="95"/>
        <v>0</v>
      </c>
      <c r="AE219" s="281">
        <f t="shared" si="95"/>
        <v>0</v>
      </c>
      <c r="AF219" s="281">
        <f t="shared" si="95"/>
        <v>0</v>
      </c>
      <c r="AG219" s="281">
        <f t="shared" si="95"/>
        <v>0</v>
      </c>
      <c r="AH219" s="281">
        <f t="shared" si="95"/>
        <v>0</v>
      </c>
      <c r="AI219" s="281">
        <f t="shared" si="95"/>
        <v>0</v>
      </c>
      <c r="AJ219" s="281">
        <f t="shared" si="95"/>
        <v>0</v>
      </c>
      <c r="AK219" s="281">
        <f t="shared" si="95"/>
        <v>0</v>
      </c>
      <c r="AL219" s="282">
        <f>+AL10</f>
        <v>0</v>
      </c>
      <c r="AM219" s="276"/>
    </row>
    <row r="220" spans="1:39" s="85" customFormat="1" ht="15" outlineLevel="2">
      <c r="A220" s="375"/>
      <c r="B220" s="189"/>
      <c r="C220" s="189"/>
      <c r="D220" s="193" t="s">
        <v>391</v>
      </c>
      <c r="E220" s="218">
        <f>+(E10-E77-E80)</f>
        <v>16360657.9</v>
      </c>
      <c r="F220" s="219">
        <f>+(F10-F77-F80)</f>
        <v>15865865.16</v>
      </c>
      <c r="G220" s="219">
        <f>+(G10-G77-G80)</f>
        <v>18420868.920000002</v>
      </c>
      <c r="H220" s="220">
        <f>+(H10-H77-H80)</f>
        <v>18510610.399999999</v>
      </c>
      <c r="I220" s="212">
        <f>+(I10-I77-I80)</f>
        <v>17845446.75</v>
      </c>
      <c r="J220" s="213">
        <f t="shared" ref="J220:AL220" si="96">+(J10-J77-J80)</f>
        <v>17100000</v>
      </c>
      <c r="K220" s="213">
        <f t="shared" si="96"/>
        <v>17600000</v>
      </c>
      <c r="L220" s="213">
        <f t="shared" si="96"/>
        <v>17943950</v>
      </c>
      <c r="M220" s="213">
        <f t="shared" si="96"/>
        <v>18237269</v>
      </c>
      <c r="N220" s="213">
        <f t="shared" si="96"/>
        <v>18545387</v>
      </c>
      <c r="O220" s="213">
        <f t="shared" si="96"/>
        <v>18768748</v>
      </c>
      <c r="P220" s="213">
        <f t="shared" si="96"/>
        <v>18807811</v>
      </c>
      <c r="Q220" s="213">
        <f t="shared" si="96"/>
        <v>19363045</v>
      </c>
      <c r="R220" s="213">
        <f t="shared" si="96"/>
        <v>19934936</v>
      </c>
      <c r="S220" s="213">
        <f t="shared" si="96"/>
        <v>20523984</v>
      </c>
      <c r="T220" s="213">
        <f t="shared" si="96"/>
        <v>21130704</v>
      </c>
      <c r="U220" s="213">
        <f t="shared" si="96"/>
        <v>21755625</v>
      </c>
      <c r="V220" s="213">
        <f t="shared" si="96"/>
        <v>0</v>
      </c>
      <c r="W220" s="213">
        <f t="shared" si="96"/>
        <v>0</v>
      </c>
      <c r="X220" s="213">
        <f t="shared" si="96"/>
        <v>0</v>
      </c>
      <c r="Y220" s="213">
        <f t="shared" si="96"/>
        <v>0</v>
      </c>
      <c r="Z220" s="213">
        <f t="shared" si="96"/>
        <v>0</v>
      </c>
      <c r="AA220" s="213">
        <f t="shared" si="96"/>
        <v>0</v>
      </c>
      <c r="AB220" s="213">
        <f t="shared" si="96"/>
        <v>0</v>
      </c>
      <c r="AC220" s="213">
        <f t="shared" si="96"/>
        <v>0</v>
      </c>
      <c r="AD220" s="213">
        <f t="shared" si="96"/>
        <v>0</v>
      </c>
      <c r="AE220" s="213">
        <f t="shared" si="96"/>
        <v>0</v>
      </c>
      <c r="AF220" s="213">
        <f t="shared" si="96"/>
        <v>0</v>
      </c>
      <c r="AG220" s="213">
        <f t="shared" si="96"/>
        <v>0</v>
      </c>
      <c r="AH220" s="213">
        <f t="shared" si="96"/>
        <v>0</v>
      </c>
      <c r="AI220" s="213">
        <f t="shared" si="96"/>
        <v>0</v>
      </c>
      <c r="AJ220" s="213">
        <f t="shared" si="96"/>
        <v>0</v>
      </c>
      <c r="AK220" s="213">
        <f t="shared" si="96"/>
        <v>0</v>
      </c>
      <c r="AL220" s="214">
        <f t="shared" si="96"/>
        <v>0</v>
      </c>
      <c r="AM220" s="175"/>
    </row>
    <row r="221" spans="1:39" s="85" customFormat="1" ht="15" outlineLevel="2">
      <c r="A221" s="375"/>
      <c r="B221" s="189"/>
      <c r="C221" s="189"/>
      <c r="D221" s="197" t="s">
        <v>392</v>
      </c>
      <c r="E221" s="218">
        <f>+E11-E77</f>
        <v>13328461.310000001</v>
      </c>
      <c r="F221" s="219">
        <f>+F11-F77</f>
        <v>14133461.960000001</v>
      </c>
      <c r="G221" s="219">
        <f>+G11-G77</f>
        <v>15732874.92</v>
      </c>
      <c r="H221" s="220">
        <f>+H11-H77</f>
        <v>15979638.24</v>
      </c>
      <c r="I221" s="212">
        <f>+I11-I77</f>
        <v>16211147.5</v>
      </c>
      <c r="J221" s="213">
        <f t="shared" ref="J221:AL221" si="97">+J11-J77</f>
        <v>16800000</v>
      </c>
      <c r="K221" s="213">
        <f t="shared" si="97"/>
        <v>17300000</v>
      </c>
      <c r="L221" s="213">
        <f t="shared" si="97"/>
        <v>17643950</v>
      </c>
      <c r="M221" s="213">
        <f t="shared" si="97"/>
        <v>17937269</v>
      </c>
      <c r="N221" s="213">
        <f t="shared" si="97"/>
        <v>18245387</v>
      </c>
      <c r="O221" s="213">
        <f t="shared" si="97"/>
        <v>18468748</v>
      </c>
      <c r="P221" s="213">
        <f t="shared" si="97"/>
        <v>18507811</v>
      </c>
      <c r="Q221" s="213">
        <f t="shared" si="97"/>
        <v>19063045</v>
      </c>
      <c r="R221" s="213">
        <f t="shared" si="97"/>
        <v>19634936</v>
      </c>
      <c r="S221" s="213">
        <f t="shared" si="97"/>
        <v>20223984</v>
      </c>
      <c r="T221" s="213">
        <f t="shared" si="97"/>
        <v>20830704</v>
      </c>
      <c r="U221" s="213">
        <f t="shared" si="97"/>
        <v>21455625</v>
      </c>
      <c r="V221" s="213">
        <f t="shared" si="97"/>
        <v>0</v>
      </c>
      <c r="W221" s="213">
        <f t="shared" si="97"/>
        <v>0</v>
      </c>
      <c r="X221" s="213">
        <f t="shared" si="97"/>
        <v>0</v>
      </c>
      <c r="Y221" s="213">
        <f t="shared" si="97"/>
        <v>0</v>
      </c>
      <c r="Z221" s="213">
        <f t="shared" si="97"/>
        <v>0</v>
      </c>
      <c r="AA221" s="213">
        <f t="shared" si="97"/>
        <v>0</v>
      </c>
      <c r="AB221" s="213">
        <f t="shared" si="97"/>
        <v>0</v>
      </c>
      <c r="AC221" s="213">
        <f t="shared" si="97"/>
        <v>0</v>
      </c>
      <c r="AD221" s="213">
        <f t="shared" si="97"/>
        <v>0</v>
      </c>
      <c r="AE221" s="213">
        <f t="shared" si="97"/>
        <v>0</v>
      </c>
      <c r="AF221" s="213">
        <f t="shared" si="97"/>
        <v>0</v>
      </c>
      <c r="AG221" s="213">
        <f t="shared" si="97"/>
        <v>0</v>
      </c>
      <c r="AH221" s="213">
        <f t="shared" si="97"/>
        <v>0</v>
      </c>
      <c r="AI221" s="213">
        <f t="shared" si="97"/>
        <v>0</v>
      </c>
      <c r="AJ221" s="213">
        <f t="shared" si="97"/>
        <v>0</v>
      </c>
      <c r="AK221" s="213">
        <f t="shared" si="97"/>
        <v>0</v>
      </c>
      <c r="AL221" s="214">
        <f t="shared" si="97"/>
        <v>0</v>
      </c>
      <c r="AM221" s="175"/>
    </row>
    <row r="222" spans="1:39" s="85" customFormat="1" ht="15" outlineLevel="2">
      <c r="A222" s="375"/>
      <c r="B222" s="189"/>
      <c r="C222" s="189"/>
      <c r="D222" s="197" t="s">
        <v>393</v>
      </c>
      <c r="E222" s="218">
        <f>+E18-E80</f>
        <v>3032196.59</v>
      </c>
      <c r="F222" s="219">
        <f>+F18-F80</f>
        <v>1732403.2</v>
      </c>
      <c r="G222" s="219">
        <f>+G18-G80</f>
        <v>2687994</v>
      </c>
      <c r="H222" s="220">
        <f>+H18-H80</f>
        <v>2530972.16</v>
      </c>
      <c r="I222" s="212">
        <f>+I18-I80</f>
        <v>1634299.25</v>
      </c>
      <c r="J222" s="213">
        <f t="shared" ref="J222:AL222" si="98">+J18-J80</f>
        <v>300000</v>
      </c>
      <c r="K222" s="213">
        <f t="shared" si="98"/>
        <v>300000</v>
      </c>
      <c r="L222" s="213">
        <f t="shared" si="98"/>
        <v>300000</v>
      </c>
      <c r="M222" s="213">
        <f t="shared" si="98"/>
        <v>300000</v>
      </c>
      <c r="N222" s="213">
        <f t="shared" si="98"/>
        <v>300000</v>
      </c>
      <c r="O222" s="213">
        <f t="shared" si="98"/>
        <v>300000</v>
      </c>
      <c r="P222" s="213">
        <f t="shared" si="98"/>
        <v>300000</v>
      </c>
      <c r="Q222" s="213">
        <f t="shared" si="98"/>
        <v>300000</v>
      </c>
      <c r="R222" s="213">
        <f t="shared" si="98"/>
        <v>300000</v>
      </c>
      <c r="S222" s="213">
        <f t="shared" si="98"/>
        <v>300000</v>
      </c>
      <c r="T222" s="213">
        <f t="shared" si="98"/>
        <v>300000</v>
      </c>
      <c r="U222" s="213">
        <f t="shared" si="98"/>
        <v>300000</v>
      </c>
      <c r="V222" s="213">
        <f t="shared" si="98"/>
        <v>0</v>
      </c>
      <c r="W222" s="213">
        <f t="shared" si="98"/>
        <v>0</v>
      </c>
      <c r="X222" s="213">
        <f t="shared" si="98"/>
        <v>0</v>
      </c>
      <c r="Y222" s="213">
        <f t="shared" si="98"/>
        <v>0</v>
      </c>
      <c r="Z222" s="213">
        <f t="shared" si="98"/>
        <v>0</v>
      </c>
      <c r="AA222" s="213">
        <f t="shared" si="98"/>
        <v>0</v>
      </c>
      <c r="AB222" s="213">
        <f t="shared" si="98"/>
        <v>0</v>
      </c>
      <c r="AC222" s="213">
        <f t="shared" si="98"/>
        <v>0</v>
      </c>
      <c r="AD222" s="213">
        <f t="shared" si="98"/>
        <v>0</v>
      </c>
      <c r="AE222" s="213">
        <f t="shared" si="98"/>
        <v>0</v>
      </c>
      <c r="AF222" s="213">
        <f t="shared" si="98"/>
        <v>0</v>
      </c>
      <c r="AG222" s="213">
        <f t="shared" si="98"/>
        <v>0</v>
      </c>
      <c r="AH222" s="213">
        <f t="shared" si="98"/>
        <v>0</v>
      </c>
      <c r="AI222" s="213">
        <f t="shared" si="98"/>
        <v>0</v>
      </c>
      <c r="AJ222" s="213">
        <f t="shared" si="98"/>
        <v>0</v>
      </c>
      <c r="AK222" s="213">
        <f t="shared" si="98"/>
        <v>0</v>
      </c>
      <c r="AL222" s="214">
        <f t="shared" si="98"/>
        <v>0</v>
      </c>
      <c r="AM222" s="175"/>
    </row>
    <row r="223" spans="1:39" s="85" customFormat="1" ht="24" outlineLevel="2">
      <c r="A223" s="375"/>
      <c r="B223" s="189"/>
      <c r="C223" s="189"/>
      <c r="D223" s="197" t="s">
        <v>394</v>
      </c>
      <c r="E223" s="218">
        <f>+E18-E80-E19</f>
        <v>2939258.5999999996</v>
      </c>
      <c r="F223" s="219">
        <f>+F18-F80-F19</f>
        <v>1607313</v>
      </c>
      <c r="G223" s="219">
        <f>+G18-G80-G19</f>
        <v>2427994</v>
      </c>
      <c r="H223" s="220">
        <f>+H18-H80-H19</f>
        <v>2335246.3800000004</v>
      </c>
      <c r="I223" s="212">
        <f>+I18-I80-I19</f>
        <v>14299.25</v>
      </c>
      <c r="J223" s="213">
        <f t="shared" ref="J223:AL223" si="99">+J18-J80-J19</f>
        <v>0</v>
      </c>
      <c r="K223" s="213">
        <f t="shared" si="99"/>
        <v>0</v>
      </c>
      <c r="L223" s="213">
        <f t="shared" si="99"/>
        <v>0</v>
      </c>
      <c r="M223" s="213">
        <f t="shared" si="99"/>
        <v>0</v>
      </c>
      <c r="N223" s="213">
        <f t="shared" si="99"/>
        <v>0</v>
      </c>
      <c r="O223" s="213">
        <f t="shared" si="99"/>
        <v>0</v>
      </c>
      <c r="P223" s="213">
        <f t="shared" si="99"/>
        <v>0</v>
      </c>
      <c r="Q223" s="213">
        <f t="shared" si="99"/>
        <v>0</v>
      </c>
      <c r="R223" s="213">
        <f t="shared" si="99"/>
        <v>0</v>
      </c>
      <c r="S223" s="213">
        <f t="shared" si="99"/>
        <v>0</v>
      </c>
      <c r="T223" s="213">
        <f t="shared" si="99"/>
        <v>0</v>
      </c>
      <c r="U223" s="213">
        <f t="shared" si="99"/>
        <v>0</v>
      </c>
      <c r="V223" s="213">
        <f t="shared" si="99"/>
        <v>0</v>
      </c>
      <c r="W223" s="213">
        <f t="shared" si="99"/>
        <v>0</v>
      </c>
      <c r="X223" s="213">
        <f t="shared" si="99"/>
        <v>0</v>
      </c>
      <c r="Y223" s="213">
        <f t="shared" si="99"/>
        <v>0</v>
      </c>
      <c r="Z223" s="213">
        <f t="shared" si="99"/>
        <v>0</v>
      </c>
      <c r="AA223" s="213">
        <f t="shared" si="99"/>
        <v>0</v>
      </c>
      <c r="AB223" s="213">
        <f t="shared" si="99"/>
        <v>0</v>
      </c>
      <c r="AC223" s="213">
        <f t="shared" si="99"/>
        <v>0</v>
      </c>
      <c r="AD223" s="213">
        <f t="shared" si="99"/>
        <v>0</v>
      </c>
      <c r="AE223" s="213">
        <f t="shared" si="99"/>
        <v>0</v>
      </c>
      <c r="AF223" s="213">
        <f t="shared" si="99"/>
        <v>0</v>
      </c>
      <c r="AG223" s="213">
        <f t="shared" si="99"/>
        <v>0</v>
      </c>
      <c r="AH223" s="213">
        <f t="shared" si="99"/>
        <v>0</v>
      </c>
      <c r="AI223" s="213">
        <f t="shared" si="99"/>
        <v>0</v>
      </c>
      <c r="AJ223" s="213">
        <f t="shared" si="99"/>
        <v>0</v>
      </c>
      <c r="AK223" s="213">
        <f t="shared" si="99"/>
        <v>0</v>
      </c>
      <c r="AL223" s="214">
        <f t="shared" si="99"/>
        <v>0</v>
      </c>
      <c r="AM223" s="175"/>
    </row>
    <row r="224" spans="1:39" s="85" customFormat="1" ht="15" outlineLevel="2">
      <c r="A224" s="375"/>
      <c r="B224" s="189"/>
      <c r="C224" s="189"/>
      <c r="D224" s="198" t="s">
        <v>36</v>
      </c>
      <c r="E224" s="221">
        <f>+E19</f>
        <v>92937.99</v>
      </c>
      <c r="F224" s="222">
        <f>+F19</f>
        <v>125090.2</v>
      </c>
      <c r="G224" s="222">
        <f>+G19</f>
        <v>260000</v>
      </c>
      <c r="H224" s="223">
        <f>+H19</f>
        <v>195725.78</v>
      </c>
      <c r="I224" s="215">
        <f>+I19</f>
        <v>1620000</v>
      </c>
      <c r="J224" s="216">
        <f t="shared" ref="J224:AL224" si="100">+J19</f>
        <v>300000</v>
      </c>
      <c r="K224" s="216">
        <f t="shared" si="100"/>
        <v>300000</v>
      </c>
      <c r="L224" s="216">
        <f t="shared" si="100"/>
        <v>300000</v>
      </c>
      <c r="M224" s="216">
        <f t="shared" si="100"/>
        <v>300000</v>
      </c>
      <c r="N224" s="216">
        <f t="shared" si="100"/>
        <v>300000</v>
      </c>
      <c r="O224" s="216">
        <f t="shared" si="100"/>
        <v>300000</v>
      </c>
      <c r="P224" s="216">
        <f t="shared" si="100"/>
        <v>300000</v>
      </c>
      <c r="Q224" s="216">
        <f t="shared" si="100"/>
        <v>300000</v>
      </c>
      <c r="R224" s="216">
        <f t="shared" si="100"/>
        <v>300000</v>
      </c>
      <c r="S224" s="216">
        <f t="shared" si="100"/>
        <v>300000</v>
      </c>
      <c r="T224" s="216">
        <f t="shared" si="100"/>
        <v>300000</v>
      </c>
      <c r="U224" s="216">
        <f t="shared" si="100"/>
        <v>300000</v>
      </c>
      <c r="V224" s="216">
        <f t="shared" si="100"/>
        <v>0</v>
      </c>
      <c r="W224" s="216">
        <f t="shared" si="100"/>
        <v>0</v>
      </c>
      <c r="X224" s="216">
        <f t="shared" si="100"/>
        <v>0</v>
      </c>
      <c r="Y224" s="216">
        <f t="shared" si="100"/>
        <v>0</v>
      </c>
      <c r="Z224" s="216">
        <f t="shared" si="100"/>
        <v>0</v>
      </c>
      <c r="AA224" s="216">
        <f t="shared" si="100"/>
        <v>0</v>
      </c>
      <c r="AB224" s="216">
        <f t="shared" si="100"/>
        <v>0</v>
      </c>
      <c r="AC224" s="216">
        <f t="shared" si="100"/>
        <v>0</v>
      </c>
      <c r="AD224" s="216">
        <f t="shared" si="100"/>
        <v>0</v>
      </c>
      <c r="AE224" s="216">
        <f t="shared" si="100"/>
        <v>0</v>
      </c>
      <c r="AF224" s="216">
        <f t="shared" si="100"/>
        <v>0</v>
      </c>
      <c r="AG224" s="216">
        <f t="shared" si="100"/>
        <v>0</v>
      </c>
      <c r="AH224" s="216">
        <f t="shared" si="100"/>
        <v>0</v>
      </c>
      <c r="AI224" s="216">
        <f t="shared" si="100"/>
        <v>0</v>
      </c>
      <c r="AJ224" s="216">
        <f t="shared" si="100"/>
        <v>0</v>
      </c>
      <c r="AK224" s="216">
        <f t="shared" si="100"/>
        <v>0</v>
      </c>
      <c r="AL224" s="217">
        <f t="shared" si="100"/>
        <v>0</v>
      </c>
      <c r="AM224" s="175"/>
    </row>
    <row r="225" spans="1:39" s="85" customFormat="1" outlineLevel="2">
      <c r="A225" s="375"/>
      <c r="B225" s="272"/>
      <c r="C225" s="272"/>
      <c r="D225" s="190" t="s">
        <v>21</v>
      </c>
      <c r="E225" s="209">
        <f>+E21</f>
        <v>18764728.809999999</v>
      </c>
      <c r="F225" s="210">
        <f>+F21</f>
        <v>22266908</v>
      </c>
      <c r="G225" s="210">
        <f>+G21</f>
        <v>20656887.920000002</v>
      </c>
      <c r="H225" s="211">
        <f>+H21</f>
        <v>18408779.099999998</v>
      </c>
      <c r="I225" s="280">
        <f>+I21</f>
        <v>20320889.75</v>
      </c>
      <c r="J225" s="281">
        <f t="shared" ref="J225:AL225" si="101">+J21</f>
        <v>19193344</v>
      </c>
      <c r="K225" s="281">
        <f t="shared" si="101"/>
        <v>17500000</v>
      </c>
      <c r="L225" s="281">
        <f t="shared" si="101"/>
        <v>17543950</v>
      </c>
      <c r="M225" s="281">
        <f t="shared" si="101"/>
        <v>17637269</v>
      </c>
      <c r="N225" s="281">
        <f t="shared" si="101"/>
        <v>17945387</v>
      </c>
      <c r="O225" s="281">
        <f t="shared" si="101"/>
        <v>17568748</v>
      </c>
      <c r="P225" s="281">
        <f t="shared" si="101"/>
        <v>17507811</v>
      </c>
      <c r="Q225" s="281">
        <f t="shared" si="101"/>
        <v>18163045</v>
      </c>
      <c r="R225" s="281">
        <f t="shared" si="101"/>
        <v>18604936</v>
      </c>
      <c r="S225" s="281">
        <f t="shared" si="101"/>
        <v>19013984</v>
      </c>
      <c r="T225" s="281">
        <f t="shared" si="101"/>
        <v>19582704</v>
      </c>
      <c r="U225" s="281">
        <f t="shared" si="101"/>
        <v>21012625</v>
      </c>
      <c r="V225" s="281">
        <f t="shared" si="101"/>
        <v>0</v>
      </c>
      <c r="W225" s="281">
        <f t="shared" si="101"/>
        <v>0</v>
      </c>
      <c r="X225" s="281">
        <f t="shared" si="101"/>
        <v>0</v>
      </c>
      <c r="Y225" s="281">
        <f t="shared" si="101"/>
        <v>0</v>
      </c>
      <c r="Z225" s="281">
        <f t="shared" si="101"/>
        <v>0</v>
      </c>
      <c r="AA225" s="281">
        <f t="shared" si="101"/>
        <v>0</v>
      </c>
      <c r="AB225" s="281">
        <f t="shared" si="101"/>
        <v>0</v>
      </c>
      <c r="AC225" s="281">
        <f t="shared" si="101"/>
        <v>0</v>
      </c>
      <c r="AD225" s="281">
        <f t="shared" si="101"/>
        <v>0</v>
      </c>
      <c r="AE225" s="281">
        <f t="shared" si="101"/>
        <v>0</v>
      </c>
      <c r="AF225" s="281">
        <f t="shared" si="101"/>
        <v>0</v>
      </c>
      <c r="AG225" s="281">
        <f t="shared" si="101"/>
        <v>0</v>
      </c>
      <c r="AH225" s="281">
        <f t="shared" si="101"/>
        <v>0</v>
      </c>
      <c r="AI225" s="281">
        <f t="shared" si="101"/>
        <v>0</v>
      </c>
      <c r="AJ225" s="281">
        <f t="shared" si="101"/>
        <v>0</v>
      </c>
      <c r="AK225" s="281">
        <f t="shared" si="101"/>
        <v>0</v>
      </c>
      <c r="AL225" s="282">
        <f t="shared" si="101"/>
        <v>0</v>
      </c>
      <c r="AM225" s="276"/>
    </row>
    <row r="226" spans="1:39" s="85" customFormat="1" ht="15" outlineLevel="2">
      <c r="A226" s="375"/>
      <c r="B226" s="189"/>
      <c r="C226" s="189"/>
      <c r="D226" s="202" t="s">
        <v>390</v>
      </c>
      <c r="E226" s="218">
        <f>+E21-E83-E86</f>
        <v>18764728.809999999</v>
      </c>
      <c r="F226" s="219">
        <f>+F21-F83-F86</f>
        <v>22266908</v>
      </c>
      <c r="G226" s="219">
        <f>+G21-G83-G86</f>
        <v>20656887.920000002</v>
      </c>
      <c r="H226" s="220">
        <f>+H21-H83-H86</f>
        <v>18408779.099999998</v>
      </c>
      <c r="I226" s="212">
        <f>+I21-I83-I86</f>
        <v>17452298.75</v>
      </c>
      <c r="J226" s="213">
        <f t="shared" ref="J226:AL226" si="102">+J21-J83-J86</f>
        <v>17318092</v>
      </c>
      <c r="K226" s="213">
        <f t="shared" si="102"/>
        <v>17500000</v>
      </c>
      <c r="L226" s="213">
        <f t="shared" si="102"/>
        <v>17543950</v>
      </c>
      <c r="M226" s="213">
        <f t="shared" si="102"/>
        <v>17637269</v>
      </c>
      <c r="N226" s="213">
        <f t="shared" si="102"/>
        <v>17945387</v>
      </c>
      <c r="O226" s="213">
        <f t="shared" si="102"/>
        <v>17568748</v>
      </c>
      <c r="P226" s="213">
        <f t="shared" si="102"/>
        <v>17507811</v>
      </c>
      <c r="Q226" s="213">
        <f t="shared" si="102"/>
        <v>18163045</v>
      </c>
      <c r="R226" s="213">
        <f t="shared" si="102"/>
        <v>18604936</v>
      </c>
      <c r="S226" s="213">
        <f t="shared" si="102"/>
        <v>19013984</v>
      </c>
      <c r="T226" s="213">
        <f t="shared" si="102"/>
        <v>19582704</v>
      </c>
      <c r="U226" s="213">
        <f t="shared" si="102"/>
        <v>21012625</v>
      </c>
      <c r="V226" s="213">
        <f t="shared" si="102"/>
        <v>0</v>
      </c>
      <c r="W226" s="213">
        <f t="shared" si="102"/>
        <v>0</v>
      </c>
      <c r="X226" s="213">
        <f t="shared" si="102"/>
        <v>0</v>
      </c>
      <c r="Y226" s="213">
        <f t="shared" si="102"/>
        <v>0</v>
      </c>
      <c r="Z226" s="213">
        <f t="shared" si="102"/>
        <v>0</v>
      </c>
      <c r="AA226" s="213">
        <f t="shared" si="102"/>
        <v>0</v>
      </c>
      <c r="AB226" s="213">
        <f t="shared" si="102"/>
        <v>0</v>
      </c>
      <c r="AC226" s="213">
        <f t="shared" si="102"/>
        <v>0</v>
      </c>
      <c r="AD226" s="213">
        <f t="shared" si="102"/>
        <v>0</v>
      </c>
      <c r="AE226" s="213">
        <f t="shared" si="102"/>
        <v>0</v>
      </c>
      <c r="AF226" s="213">
        <f t="shared" si="102"/>
        <v>0</v>
      </c>
      <c r="AG226" s="213">
        <f t="shared" si="102"/>
        <v>0</v>
      </c>
      <c r="AH226" s="213">
        <f t="shared" si="102"/>
        <v>0</v>
      </c>
      <c r="AI226" s="213">
        <f t="shared" si="102"/>
        <v>0</v>
      </c>
      <c r="AJ226" s="213">
        <f t="shared" si="102"/>
        <v>0</v>
      </c>
      <c r="AK226" s="213">
        <f t="shared" si="102"/>
        <v>0</v>
      </c>
      <c r="AL226" s="214">
        <f t="shared" si="102"/>
        <v>0</v>
      </c>
      <c r="AM226" s="175"/>
    </row>
    <row r="227" spans="1:39" s="85" customFormat="1" outlineLevel="2">
      <c r="A227" s="375"/>
      <c r="B227" s="272"/>
      <c r="C227" s="272"/>
      <c r="D227" s="203" t="s">
        <v>37</v>
      </c>
      <c r="E227" s="261">
        <f>+E22</f>
        <v>14183688.6</v>
      </c>
      <c r="F227" s="262">
        <f>+F22</f>
        <v>14121187.48</v>
      </c>
      <c r="G227" s="262">
        <f>+G22</f>
        <v>15825527.92</v>
      </c>
      <c r="H227" s="263">
        <f>+H22</f>
        <v>15466263.529999999</v>
      </c>
      <c r="I227" s="283">
        <f>+I22</f>
        <v>16881117.5</v>
      </c>
      <c r="J227" s="284">
        <f t="shared" ref="J227:AL227" si="103">+J22</f>
        <v>16272983</v>
      </c>
      <c r="K227" s="284">
        <f t="shared" si="103"/>
        <v>16273673</v>
      </c>
      <c r="L227" s="284">
        <f t="shared" si="103"/>
        <v>16346533</v>
      </c>
      <c r="M227" s="284">
        <f t="shared" si="103"/>
        <v>16533929</v>
      </c>
      <c r="N227" s="284">
        <f t="shared" si="103"/>
        <v>16741237</v>
      </c>
      <c r="O227" s="284">
        <f t="shared" si="103"/>
        <v>17061844</v>
      </c>
      <c r="P227" s="284">
        <f t="shared" si="103"/>
        <v>17260149</v>
      </c>
      <c r="Q227" s="284">
        <f t="shared" si="103"/>
        <v>16966564</v>
      </c>
      <c r="R227" s="284">
        <f t="shared" si="103"/>
        <v>17393510</v>
      </c>
      <c r="S227" s="284">
        <f t="shared" si="103"/>
        <v>17827425</v>
      </c>
      <c r="T227" s="284">
        <f t="shared" si="103"/>
        <v>18266759</v>
      </c>
      <c r="U227" s="284">
        <f t="shared" si="103"/>
        <v>18718971</v>
      </c>
      <c r="V227" s="284">
        <f t="shared" si="103"/>
        <v>0</v>
      </c>
      <c r="W227" s="284">
        <f t="shared" si="103"/>
        <v>0</v>
      </c>
      <c r="X227" s="284">
        <f t="shared" si="103"/>
        <v>0</v>
      </c>
      <c r="Y227" s="284">
        <f t="shared" si="103"/>
        <v>0</v>
      </c>
      <c r="Z227" s="284">
        <f t="shared" si="103"/>
        <v>0</v>
      </c>
      <c r="AA227" s="284">
        <f t="shared" si="103"/>
        <v>0</v>
      </c>
      <c r="AB227" s="284">
        <f t="shared" si="103"/>
        <v>0</v>
      </c>
      <c r="AC227" s="284">
        <f t="shared" si="103"/>
        <v>0</v>
      </c>
      <c r="AD227" s="284">
        <f t="shared" si="103"/>
        <v>0</v>
      </c>
      <c r="AE227" s="284">
        <f t="shared" si="103"/>
        <v>0</v>
      </c>
      <c r="AF227" s="284">
        <f t="shared" si="103"/>
        <v>0</v>
      </c>
      <c r="AG227" s="284">
        <f t="shared" si="103"/>
        <v>0</v>
      </c>
      <c r="AH227" s="284">
        <f t="shared" si="103"/>
        <v>0</v>
      </c>
      <c r="AI227" s="284">
        <f t="shared" si="103"/>
        <v>0</v>
      </c>
      <c r="AJ227" s="284">
        <f t="shared" si="103"/>
        <v>0</v>
      </c>
      <c r="AK227" s="284">
        <f t="shared" si="103"/>
        <v>0</v>
      </c>
      <c r="AL227" s="285">
        <f t="shared" si="103"/>
        <v>0</v>
      </c>
      <c r="AM227" s="276"/>
    </row>
    <row r="228" spans="1:39" s="85" customFormat="1" ht="15" outlineLevel="2">
      <c r="A228" s="375"/>
      <c r="B228" s="189"/>
      <c r="C228" s="189"/>
      <c r="D228" s="197" t="s">
        <v>39</v>
      </c>
      <c r="E228" s="218">
        <f>+E22-E83</f>
        <v>14183688.6</v>
      </c>
      <c r="F228" s="219">
        <f>+F22-F83</f>
        <v>14121187.48</v>
      </c>
      <c r="G228" s="219">
        <f>+G22-G83</f>
        <v>15825527.92</v>
      </c>
      <c r="H228" s="220">
        <f>+H22-H83</f>
        <v>15466263.529999999</v>
      </c>
      <c r="I228" s="212">
        <f>+I22-I83</f>
        <v>16479646.5</v>
      </c>
      <c r="J228" s="213">
        <f t="shared" ref="J228:AL228" si="104">+J22-J83</f>
        <v>16249973</v>
      </c>
      <c r="K228" s="213">
        <f t="shared" si="104"/>
        <v>16273673</v>
      </c>
      <c r="L228" s="213">
        <f t="shared" si="104"/>
        <v>16346533</v>
      </c>
      <c r="M228" s="213">
        <f t="shared" si="104"/>
        <v>16533929</v>
      </c>
      <c r="N228" s="213">
        <f t="shared" si="104"/>
        <v>16741237</v>
      </c>
      <c r="O228" s="213">
        <f t="shared" si="104"/>
        <v>17061844</v>
      </c>
      <c r="P228" s="213">
        <f t="shared" si="104"/>
        <v>17260149</v>
      </c>
      <c r="Q228" s="213">
        <f t="shared" si="104"/>
        <v>16966564</v>
      </c>
      <c r="R228" s="213">
        <f t="shared" si="104"/>
        <v>17393510</v>
      </c>
      <c r="S228" s="213">
        <f t="shared" si="104"/>
        <v>17827425</v>
      </c>
      <c r="T228" s="213">
        <f t="shared" si="104"/>
        <v>18266759</v>
      </c>
      <c r="U228" s="213">
        <f t="shared" si="104"/>
        <v>18718971</v>
      </c>
      <c r="V228" s="213">
        <f t="shared" si="104"/>
        <v>0</v>
      </c>
      <c r="W228" s="213">
        <f t="shared" si="104"/>
        <v>0</v>
      </c>
      <c r="X228" s="213">
        <f t="shared" si="104"/>
        <v>0</v>
      </c>
      <c r="Y228" s="213">
        <f t="shared" si="104"/>
        <v>0</v>
      </c>
      <c r="Z228" s="213">
        <f t="shared" si="104"/>
        <v>0</v>
      </c>
      <c r="AA228" s="213">
        <f t="shared" si="104"/>
        <v>0</v>
      </c>
      <c r="AB228" s="213">
        <f t="shared" si="104"/>
        <v>0</v>
      </c>
      <c r="AC228" s="213">
        <f t="shared" si="104"/>
        <v>0</v>
      </c>
      <c r="AD228" s="213">
        <f t="shared" si="104"/>
        <v>0</v>
      </c>
      <c r="AE228" s="213">
        <f t="shared" si="104"/>
        <v>0</v>
      </c>
      <c r="AF228" s="213">
        <f t="shared" si="104"/>
        <v>0</v>
      </c>
      <c r="AG228" s="213">
        <f t="shared" si="104"/>
        <v>0</v>
      </c>
      <c r="AH228" s="213">
        <f t="shared" si="104"/>
        <v>0</v>
      </c>
      <c r="AI228" s="213">
        <f t="shared" si="104"/>
        <v>0</v>
      </c>
      <c r="AJ228" s="213">
        <f t="shared" si="104"/>
        <v>0</v>
      </c>
      <c r="AK228" s="213">
        <f t="shared" si="104"/>
        <v>0</v>
      </c>
      <c r="AL228" s="214">
        <f t="shared" si="104"/>
        <v>0</v>
      </c>
      <c r="AM228" s="175"/>
    </row>
    <row r="229" spans="1:39" s="85" customFormat="1" ht="15" outlineLevel="2">
      <c r="A229" s="375"/>
      <c r="B229" s="189"/>
      <c r="C229" s="189"/>
      <c r="D229" s="197" t="s">
        <v>38</v>
      </c>
      <c r="E229" s="218">
        <f>+E68</f>
        <v>0</v>
      </c>
      <c r="F229" s="219">
        <f>+F68</f>
        <v>5923327</v>
      </c>
      <c r="G229" s="219">
        <f>+G68</f>
        <v>6553390.0899999999</v>
      </c>
      <c r="H229" s="220">
        <f>+H68</f>
        <v>6453390.0899999999</v>
      </c>
      <c r="I229" s="212">
        <f>+I68</f>
        <v>6782288.0599999996</v>
      </c>
      <c r="J229" s="213">
        <f t="shared" ref="J229:AL229" si="105">+J68</f>
        <v>6758808</v>
      </c>
      <c r="K229" s="213">
        <f t="shared" si="105"/>
        <v>6961573</v>
      </c>
      <c r="L229" s="213">
        <f t="shared" si="105"/>
        <v>7170420</v>
      </c>
      <c r="M229" s="213">
        <f t="shared" si="105"/>
        <v>7385532</v>
      </c>
      <c r="N229" s="213">
        <f t="shared" si="105"/>
        <v>7607098</v>
      </c>
      <c r="O229" s="213">
        <f t="shared" si="105"/>
        <v>7835311</v>
      </c>
      <c r="P229" s="213">
        <f t="shared" si="105"/>
        <v>8070371</v>
      </c>
      <c r="Q229" s="213">
        <f t="shared" si="105"/>
        <v>8312482</v>
      </c>
      <c r="R229" s="213">
        <f t="shared" si="105"/>
        <v>8561856</v>
      </c>
      <c r="S229" s="213">
        <f t="shared" si="105"/>
        <v>8818712</v>
      </c>
      <c r="T229" s="213">
        <f t="shared" si="105"/>
        <v>9083273</v>
      </c>
      <c r="U229" s="213">
        <f t="shared" si="105"/>
        <v>9355771</v>
      </c>
      <c r="V229" s="213">
        <f t="shared" si="105"/>
        <v>0</v>
      </c>
      <c r="W229" s="213">
        <f t="shared" si="105"/>
        <v>0</v>
      </c>
      <c r="X229" s="213">
        <f t="shared" si="105"/>
        <v>0</v>
      </c>
      <c r="Y229" s="213">
        <f t="shared" si="105"/>
        <v>0</v>
      </c>
      <c r="Z229" s="213">
        <f t="shared" si="105"/>
        <v>0</v>
      </c>
      <c r="AA229" s="213">
        <f t="shared" si="105"/>
        <v>0</v>
      </c>
      <c r="AB229" s="213">
        <f t="shared" si="105"/>
        <v>0</v>
      </c>
      <c r="AC229" s="213">
        <f t="shared" si="105"/>
        <v>0</v>
      </c>
      <c r="AD229" s="213">
        <f t="shared" si="105"/>
        <v>0</v>
      </c>
      <c r="AE229" s="213">
        <f t="shared" si="105"/>
        <v>0</v>
      </c>
      <c r="AF229" s="213">
        <f t="shared" si="105"/>
        <v>0</v>
      </c>
      <c r="AG229" s="213">
        <f t="shared" si="105"/>
        <v>0</v>
      </c>
      <c r="AH229" s="213">
        <f t="shared" si="105"/>
        <v>0</v>
      </c>
      <c r="AI229" s="213">
        <f t="shared" si="105"/>
        <v>0</v>
      </c>
      <c r="AJ229" s="213">
        <f t="shared" si="105"/>
        <v>0</v>
      </c>
      <c r="AK229" s="213">
        <f t="shared" si="105"/>
        <v>0</v>
      </c>
      <c r="AL229" s="214">
        <f t="shared" si="105"/>
        <v>0</v>
      </c>
      <c r="AM229" s="175"/>
    </row>
    <row r="230" spans="1:39" s="85" customFormat="1" ht="24" outlineLevel="2">
      <c r="A230" s="375"/>
      <c r="B230" s="189"/>
      <c r="C230" s="189"/>
      <c r="D230" s="198" t="s">
        <v>389</v>
      </c>
      <c r="E230" s="221">
        <f>+E22-E23-E26-E68-E69</f>
        <v>11789190.959999999</v>
      </c>
      <c r="F230" s="222">
        <f>+F22-F23-F26-F68-F69</f>
        <v>5376966.6300000008</v>
      </c>
      <c r="G230" s="222">
        <f>+G22-G23-G26-G68-G69</f>
        <v>8593017.8300000001</v>
      </c>
      <c r="H230" s="223">
        <f>+H22-H23-H26-H68-H69</f>
        <v>5730557.709999999</v>
      </c>
      <c r="I230" s="215">
        <f>+I22-I23-I26-I68-I69</f>
        <v>6145048.4400000013</v>
      </c>
      <c r="J230" s="216">
        <f t="shared" ref="J230:AL230" si="106">+J22-J23-J26-J68-J69</f>
        <v>5764175</v>
      </c>
      <c r="K230" s="216">
        <f t="shared" si="106"/>
        <v>5417100</v>
      </c>
      <c r="L230" s="216">
        <f t="shared" si="106"/>
        <v>5276113</v>
      </c>
      <c r="M230" s="216">
        <f t="shared" si="106"/>
        <v>5191397</v>
      </c>
      <c r="N230" s="216">
        <f t="shared" si="106"/>
        <v>5113139</v>
      </c>
      <c r="O230" s="216">
        <f t="shared" si="106"/>
        <v>5141533</v>
      </c>
      <c r="P230" s="216">
        <f t="shared" si="106"/>
        <v>5076778</v>
      </c>
      <c r="Q230" s="216">
        <f t="shared" si="106"/>
        <v>4519082</v>
      </c>
      <c r="R230" s="216">
        <f t="shared" si="106"/>
        <v>4668654</v>
      </c>
      <c r="S230" s="216">
        <f t="shared" si="106"/>
        <v>4825713</v>
      </c>
      <c r="T230" s="216">
        <f t="shared" si="106"/>
        <v>4990486</v>
      </c>
      <c r="U230" s="216">
        <f t="shared" si="106"/>
        <v>5131250</v>
      </c>
      <c r="V230" s="216">
        <f t="shared" si="106"/>
        <v>0</v>
      </c>
      <c r="W230" s="216">
        <f t="shared" si="106"/>
        <v>0</v>
      </c>
      <c r="X230" s="216">
        <f t="shared" si="106"/>
        <v>0</v>
      </c>
      <c r="Y230" s="216">
        <f t="shared" si="106"/>
        <v>0</v>
      </c>
      <c r="Z230" s="216">
        <f t="shared" si="106"/>
        <v>0</v>
      </c>
      <c r="AA230" s="216">
        <f t="shared" si="106"/>
        <v>0</v>
      </c>
      <c r="AB230" s="216">
        <f t="shared" si="106"/>
        <v>0</v>
      </c>
      <c r="AC230" s="216">
        <f t="shared" si="106"/>
        <v>0</v>
      </c>
      <c r="AD230" s="216">
        <f t="shared" si="106"/>
        <v>0</v>
      </c>
      <c r="AE230" s="216">
        <f t="shared" si="106"/>
        <v>0</v>
      </c>
      <c r="AF230" s="216">
        <f t="shared" si="106"/>
        <v>0</v>
      </c>
      <c r="AG230" s="216">
        <f t="shared" si="106"/>
        <v>0</v>
      </c>
      <c r="AH230" s="216">
        <f t="shared" si="106"/>
        <v>0</v>
      </c>
      <c r="AI230" s="216">
        <f t="shared" si="106"/>
        <v>0</v>
      </c>
      <c r="AJ230" s="216">
        <f t="shared" si="106"/>
        <v>0</v>
      </c>
      <c r="AK230" s="216">
        <f t="shared" si="106"/>
        <v>0</v>
      </c>
      <c r="AL230" s="217">
        <f t="shared" si="106"/>
        <v>0</v>
      </c>
      <c r="AM230" s="175"/>
    </row>
    <row r="231" spans="1:39" s="85" customFormat="1" outlineLevel="2">
      <c r="A231" s="375"/>
      <c r="B231" s="1"/>
      <c r="C231" s="1"/>
      <c r="D231" s="25"/>
      <c r="E231" s="83"/>
      <c r="F231" s="83"/>
      <c r="G231" s="83"/>
      <c r="H231" s="83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9" s="85" customFormat="1" outlineLevel="1">
      <c r="A232" s="375"/>
      <c r="B232" s="1"/>
      <c r="C232" s="1"/>
      <c r="D232" s="304" t="s">
        <v>440</v>
      </c>
      <c r="E232" s="80"/>
      <c r="F232" s="80"/>
      <c r="G232" s="418" t="s">
        <v>470</v>
      </c>
      <c r="H232" s="418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85" customFormat="1" ht="15" outlineLevel="2">
      <c r="A233" s="375"/>
      <c r="B233" s="286"/>
      <c r="C233" s="286"/>
      <c r="D233" s="8" t="s">
        <v>26</v>
      </c>
      <c r="E233" s="398" t="s">
        <v>31</v>
      </c>
      <c r="F233" s="110">
        <f t="shared" ref="F233:AL234" si="107">+IF(E10&lt;&gt;0,F10/E10,"-")</f>
        <v>0.96975716117137323</v>
      </c>
      <c r="G233" s="110">
        <f t="shared" si="107"/>
        <v>1.1610377835834325</v>
      </c>
      <c r="H233" s="111">
        <f>+IF(F10&lt;&gt;0,H10/F10,"-")</f>
        <v>1.1666940449404397</v>
      </c>
      <c r="I233" s="98">
        <f t="shared" si="107"/>
        <v>1.0304300797125523</v>
      </c>
      <c r="J233" s="99">
        <f t="shared" si="107"/>
        <v>1.061678780019162</v>
      </c>
      <c r="K233" s="99">
        <f t="shared" si="107"/>
        <v>0.86912103814137676</v>
      </c>
      <c r="L233" s="99">
        <f t="shared" si="107"/>
        <v>1.0195426136363637</v>
      </c>
      <c r="M233" s="99">
        <f t="shared" si="107"/>
        <v>1.0163464008760612</v>
      </c>
      <c r="N233" s="99">
        <f t="shared" si="107"/>
        <v>1.016894963823805</v>
      </c>
      <c r="O233" s="99">
        <f t="shared" si="107"/>
        <v>1.0120440193564038</v>
      </c>
      <c r="P233" s="99">
        <f t="shared" si="107"/>
        <v>1.00208127894306</v>
      </c>
      <c r="Q233" s="99">
        <f t="shared" si="107"/>
        <v>1.0295214578666279</v>
      </c>
      <c r="R233" s="99">
        <f t="shared" si="107"/>
        <v>1.0295351789968985</v>
      </c>
      <c r="S233" s="99">
        <f t="shared" si="107"/>
        <v>1.0295485272689113</v>
      </c>
      <c r="T233" s="99">
        <f t="shared" si="107"/>
        <v>1.029561512033921</v>
      </c>
      <c r="U233" s="99">
        <f t="shared" si="107"/>
        <v>1.0295740738216768</v>
      </c>
      <c r="V233" s="99">
        <f t="shared" si="107"/>
        <v>0</v>
      </c>
      <c r="W233" s="99" t="str">
        <f t="shared" si="107"/>
        <v>-</v>
      </c>
      <c r="X233" s="99" t="str">
        <f t="shared" si="107"/>
        <v>-</v>
      </c>
      <c r="Y233" s="99" t="str">
        <f t="shared" si="107"/>
        <v>-</v>
      </c>
      <c r="Z233" s="99" t="str">
        <f t="shared" si="107"/>
        <v>-</v>
      </c>
      <c r="AA233" s="99" t="str">
        <f t="shared" si="107"/>
        <v>-</v>
      </c>
      <c r="AB233" s="99" t="str">
        <f t="shared" si="107"/>
        <v>-</v>
      </c>
      <c r="AC233" s="99" t="str">
        <f t="shared" si="107"/>
        <v>-</v>
      </c>
      <c r="AD233" s="99" t="str">
        <f t="shared" si="107"/>
        <v>-</v>
      </c>
      <c r="AE233" s="99" t="str">
        <f t="shared" si="107"/>
        <v>-</v>
      </c>
      <c r="AF233" s="99" t="str">
        <f t="shared" si="107"/>
        <v>-</v>
      </c>
      <c r="AG233" s="99" t="str">
        <f t="shared" si="107"/>
        <v>-</v>
      </c>
      <c r="AH233" s="99" t="str">
        <f t="shared" si="107"/>
        <v>-</v>
      </c>
      <c r="AI233" s="99" t="str">
        <f t="shared" si="107"/>
        <v>-</v>
      </c>
      <c r="AJ233" s="99" t="str">
        <f t="shared" si="107"/>
        <v>-</v>
      </c>
      <c r="AK233" s="99" t="str">
        <f t="shared" si="107"/>
        <v>-</v>
      </c>
      <c r="AL233" s="100" t="str">
        <f t="shared" si="107"/>
        <v>-</v>
      </c>
      <c r="AM233" s="43"/>
    </row>
    <row r="234" spans="1:39" s="85" customFormat="1" outlineLevel="2">
      <c r="A234" s="375"/>
      <c r="B234" s="1"/>
      <c r="C234" s="1"/>
      <c r="D234" s="9" t="s">
        <v>226</v>
      </c>
      <c r="E234" s="399" t="s">
        <v>31</v>
      </c>
      <c r="F234" s="112">
        <f t="shared" si="107"/>
        <v>1.0603971179625986</v>
      </c>
      <c r="G234" s="112">
        <f t="shared" si="107"/>
        <v>1.1131649814126643</v>
      </c>
      <c r="H234" s="113">
        <f>+IF(F11&lt;&gt;0,H11/F11,"-")</f>
        <v>1.1306244913825769</v>
      </c>
      <c r="I234" s="101">
        <f t="shared" si="107"/>
        <v>1.0305070272980097</v>
      </c>
      <c r="J234" s="102">
        <f t="shared" si="107"/>
        <v>1.0202142395248668</v>
      </c>
      <c r="K234" s="102">
        <f t="shared" si="107"/>
        <v>1.0297619047619047</v>
      </c>
      <c r="L234" s="102">
        <f t="shared" si="107"/>
        <v>1.0198815028901733</v>
      </c>
      <c r="M234" s="102">
        <f t="shared" si="107"/>
        <v>1.0166243386543263</v>
      </c>
      <c r="N234" s="102">
        <f t="shared" si="107"/>
        <v>1.0171775313176159</v>
      </c>
      <c r="O234" s="102">
        <f t="shared" si="107"/>
        <v>1.0122420532927034</v>
      </c>
      <c r="P234" s="102">
        <f t="shared" si="107"/>
        <v>1.0021150865234612</v>
      </c>
      <c r="Q234" s="102">
        <f t="shared" si="107"/>
        <v>1.0299999821696904</v>
      </c>
      <c r="R234" s="102">
        <f t="shared" si="107"/>
        <v>1.0299999816398693</v>
      </c>
      <c r="S234" s="102">
        <f t="shared" si="107"/>
        <v>1.0299999959256296</v>
      </c>
      <c r="T234" s="102">
        <f t="shared" si="107"/>
        <v>1.030000023734196</v>
      </c>
      <c r="U234" s="102">
        <f t="shared" si="107"/>
        <v>1.029999994239273</v>
      </c>
      <c r="V234" s="102">
        <f t="shared" si="107"/>
        <v>0</v>
      </c>
      <c r="W234" s="102" t="str">
        <f t="shared" si="107"/>
        <v>-</v>
      </c>
      <c r="X234" s="102" t="str">
        <f t="shared" si="107"/>
        <v>-</v>
      </c>
      <c r="Y234" s="102" t="str">
        <f t="shared" si="107"/>
        <v>-</v>
      </c>
      <c r="Z234" s="102" t="str">
        <f t="shared" si="107"/>
        <v>-</v>
      </c>
      <c r="AA234" s="102" t="str">
        <f t="shared" si="107"/>
        <v>-</v>
      </c>
      <c r="AB234" s="102" t="str">
        <f t="shared" si="107"/>
        <v>-</v>
      </c>
      <c r="AC234" s="102" t="str">
        <f t="shared" si="107"/>
        <v>-</v>
      </c>
      <c r="AD234" s="102" t="str">
        <f t="shared" si="107"/>
        <v>-</v>
      </c>
      <c r="AE234" s="102" t="str">
        <f t="shared" si="107"/>
        <v>-</v>
      </c>
      <c r="AF234" s="102" t="str">
        <f t="shared" si="107"/>
        <v>-</v>
      </c>
      <c r="AG234" s="102" t="str">
        <f t="shared" si="107"/>
        <v>-</v>
      </c>
      <c r="AH234" s="102" t="str">
        <f t="shared" si="107"/>
        <v>-</v>
      </c>
      <c r="AI234" s="102" t="str">
        <f t="shared" si="107"/>
        <v>-</v>
      </c>
      <c r="AJ234" s="102" t="str">
        <f t="shared" si="107"/>
        <v>-</v>
      </c>
      <c r="AK234" s="102" t="str">
        <f t="shared" si="107"/>
        <v>-</v>
      </c>
      <c r="AL234" s="103" t="str">
        <f t="shared" si="107"/>
        <v>-</v>
      </c>
    </row>
    <row r="235" spans="1:39" s="85" customFormat="1" ht="24" outlineLevel="2">
      <c r="A235" s="375"/>
      <c r="B235" s="1"/>
      <c r="C235" s="1"/>
      <c r="D235" s="10" t="s">
        <v>397</v>
      </c>
      <c r="E235" s="400" t="s">
        <v>31</v>
      </c>
      <c r="F235" s="114" t="str">
        <f>+IF((E77)&lt;&gt;0,(F77)/(E77),"-")</f>
        <v>-</v>
      </c>
      <c r="G235" s="114" t="str">
        <f>+IF((F77)&lt;&gt;0,(G77)/(F77),"-")</f>
        <v>-</v>
      </c>
      <c r="H235" s="115" t="str">
        <f>+IF((F77)&lt;&gt;0,(H77)/(F77),"-")</f>
        <v>-</v>
      </c>
      <c r="I235" s="101" t="str">
        <f>+IF((H77)&lt;&gt;0,(I77)/(H77),"-")</f>
        <v>-</v>
      </c>
      <c r="J235" s="102">
        <f t="shared" ref="J235:AL235" si="108">+IF((I77)&lt;&gt;0,(J77)/(I77),"-")</f>
        <v>0</v>
      </c>
      <c r="K235" s="102" t="str">
        <f t="shared" si="108"/>
        <v>-</v>
      </c>
      <c r="L235" s="102" t="str">
        <f t="shared" si="108"/>
        <v>-</v>
      </c>
      <c r="M235" s="102" t="str">
        <f t="shared" si="108"/>
        <v>-</v>
      </c>
      <c r="N235" s="102" t="str">
        <f t="shared" si="108"/>
        <v>-</v>
      </c>
      <c r="O235" s="102" t="str">
        <f t="shared" si="108"/>
        <v>-</v>
      </c>
      <c r="P235" s="102" t="str">
        <f t="shared" si="108"/>
        <v>-</v>
      </c>
      <c r="Q235" s="102" t="str">
        <f t="shared" si="108"/>
        <v>-</v>
      </c>
      <c r="R235" s="102" t="str">
        <f t="shared" si="108"/>
        <v>-</v>
      </c>
      <c r="S235" s="102" t="str">
        <f t="shared" si="108"/>
        <v>-</v>
      </c>
      <c r="T235" s="102" t="str">
        <f t="shared" si="108"/>
        <v>-</v>
      </c>
      <c r="U235" s="102" t="str">
        <f t="shared" si="108"/>
        <v>-</v>
      </c>
      <c r="V235" s="102" t="str">
        <f t="shared" si="108"/>
        <v>-</v>
      </c>
      <c r="W235" s="102" t="str">
        <f t="shared" si="108"/>
        <v>-</v>
      </c>
      <c r="X235" s="102" t="str">
        <f t="shared" si="108"/>
        <v>-</v>
      </c>
      <c r="Y235" s="102" t="str">
        <f t="shared" si="108"/>
        <v>-</v>
      </c>
      <c r="Z235" s="102" t="str">
        <f t="shared" si="108"/>
        <v>-</v>
      </c>
      <c r="AA235" s="102" t="str">
        <f t="shared" si="108"/>
        <v>-</v>
      </c>
      <c r="AB235" s="102" t="str">
        <f t="shared" si="108"/>
        <v>-</v>
      </c>
      <c r="AC235" s="102" t="str">
        <f t="shared" si="108"/>
        <v>-</v>
      </c>
      <c r="AD235" s="102" t="str">
        <f t="shared" si="108"/>
        <v>-</v>
      </c>
      <c r="AE235" s="102" t="str">
        <f t="shared" si="108"/>
        <v>-</v>
      </c>
      <c r="AF235" s="102" t="str">
        <f t="shared" si="108"/>
        <v>-</v>
      </c>
      <c r="AG235" s="102" t="str">
        <f t="shared" si="108"/>
        <v>-</v>
      </c>
      <c r="AH235" s="102" t="str">
        <f t="shared" si="108"/>
        <v>-</v>
      </c>
      <c r="AI235" s="102" t="str">
        <f t="shared" si="108"/>
        <v>-</v>
      </c>
      <c r="AJ235" s="102" t="str">
        <f t="shared" si="108"/>
        <v>-</v>
      </c>
      <c r="AK235" s="102" t="str">
        <f t="shared" si="108"/>
        <v>-</v>
      </c>
      <c r="AL235" s="103" t="str">
        <f t="shared" si="108"/>
        <v>-</v>
      </c>
    </row>
    <row r="236" spans="1:39" s="85" customFormat="1" outlineLevel="2">
      <c r="A236" s="375"/>
      <c r="B236" s="1"/>
      <c r="C236" s="1"/>
      <c r="D236" s="9" t="s">
        <v>29</v>
      </c>
      <c r="E236" s="399" t="s">
        <v>31</v>
      </c>
      <c r="F236" s="112">
        <f t="shared" ref="F236:AL237" si="109">+IF(E18&lt;&gt;0,F18/E18,"-")</f>
        <v>0.57133604256180504</v>
      </c>
      <c r="G236" s="112">
        <f t="shared" si="109"/>
        <v>1.551598380792647</v>
      </c>
      <c r="H236" s="113">
        <f>+IF(F18&lt;&gt;0,H18/F18,"-")</f>
        <v>1.4609602198841471</v>
      </c>
      <c r="I236" s="101">
        <f t="shared" si="109"/>
        <v>1.0299442606275053</v>
      </c>
      <c r="J236" s="102">
        <f t="shared" si="109"/>
        <v>1.3236138613054269</v>
      </c>
      <c r="K236" s="102">
        <f t="shared" si="109"/>
        <v>8.6947852156190802E-2</v>
      </c>
      <c r="L236" s="102">
        <f t="shared" si="109"/>
        <v>1</v>
      </c>
      <c r="M236" s="102">
        <f t="shared" si="109"/>
        <v>1</v>
      </c>
      <c r="N236" s="102">
        <f t="shared" si="109"/>
        <v>1</v>
      </c>
      <c r="O236" s="102">
        <f t="shared" si="109"/>
        <v>1</v>
      </c>
      <c r="P236" s="102">
        <f t="shared" si="109"/>
        <v>1</v>
      </c>
      <c r="Q236" s="102">
        <f t="shared" si="109"/>
        <v>1</v>
      </c>
      <c r="R236" s="102">
        <f t="shared" si="109"/>
        <v>1</v>
      </c>
      <c r="S236" s="102">
        <f t="shared" si="109"/>
        <v>1</v>
      </c>
      <c r="T236" s="102">
        <f t="shared" si="109"/>
        <v>1</v>
      </c>
      <c r="U236" s="102">
        <f t="shared" si="109"/>
        <v>1</v>
      </c>
      <c r="V236" s="102">
        <f t="shared" si="109"/>
        <v>0</v>
      </c>
      <c r="W236" s="102" t="str">
        <f t="shared" si="109"/>
        <v>-</v>
      </c>
      <c r="X236" s="102" t="str">
        <f t="shared" si="109"/>
        <v>-</v>
      </c>
      <c r="Y236" s="102" t="str">
        <f t="shared" si="109"/>
        <v>-</v>
      </c>
      <c r="Z236" s="102" t="str">
        <f t="shared" si="109"/>
        <v>-</v>
      </c>
      <c r="AA236" s="102" t="str">
        <f t="shared" si="109"/>
        <v>-</v>
      </c>
      <c r="AB236" s="102" t="str">
        <f t="shared" si="109"/>
        <v>-</v>
      </c>
      <c r="AC236" s="102" t="str">
        <f t="shared" si="109"/>
        <v>-</v>
      </c>
      <c r="AD236" s="102" t="str">
        <f t="shared" si="109"/>
        <v>-</v>
      </c>
      <c r="AE236" s="102" t="str">
        <f t="shared" si="109"/>
        <v>-</v>
      </c>
      <c r="AF236" s="102" t="str">
        <f t="shared" si="109"/>
        <v>-</v>
      </c>
      <c r="AG236" s="102" t="str">
        <f t="shared" si="109"/>
        <v>-</v>
      </c>
      <c r="AH236" s="102" t="str">
        <f t="shared" si="109"/>
        <v>-</v>
      </c>
      <c r="AI236" s="102" t="str">
        <f t="shared" si="109"/>
        <v>-</v>
      </c>
      <c r="AJ236" s="102" t="str">
        <f t="shared" si="109"/>
        <v>-</v>
      </c>
      <c r="AK236" s="102" t="str">
        <f t="shared" si="109"/>
        <v>-</v>
      </c>
      <c r="AL236" s="103" t="str">
        <f t="shared" si="109"/>
        <v>-</v>
      </c>
    </row>
    <row r="237" spans="1:39" s="85" customFormat="1" outlineLevel="2">
      <c r="A237" s="375"/>
      <c r="B237" s="1"/>
      <c r="C237" s="1"/>
      <c r="D237" s="11" t="s">
        <v>30</v>
      </c>
      <c r="E237" s="399" t="s">
        <v>31</v>
      </c>
      <c r="F237" s="112">
        <f t="shared" si="109"/>
        <v>1.3459533609452925</v>
      </c>
      <c r="G237" s="112">
        <f t="shared" si="109"/>
        <v>2.0785001542886654</v>
      </c>
      <c r="H237" s="113">
        <f>+IF(F19&lt;&gt;0,H19/F19,"-")</f>
        <v>1.5646771689548822</v>
      </c>
      <c r="I237" s="101">
        <f t="shared" si="109"/>
        <v>8.2768861618535894</v>
      </c>
      <c r="J237" s="102">
        <f t="shared" si="109"/>
        <v>0.18518518518518517</v>
      </c>
      <c r="K237" s="102">
        <f t="shared" si="109"/>
        <v>1</v>
      </c>
      <c r="L237" s="102">
        <f t="shared" si="109"/>
        <v>1</v>
      </c>
      <c r="M237" s="102">
        <f t="shared" si="109"/>
        <v>1</v>
      </c>
      <c r="N237" s="102">
        <f t="shared" si="109"/>
        <v>1</v>
      </c>
      <c r="O237" s="102">
        <f t="shared" si="109"/>
        <v>1</v>
      </c>
      <c r="P237" s="102">
        <f t="shared" si="109"/>
        <v>1</v>
      </c>
      <c r="Q237" s="102">
        <f t="shared" si="109"/>
        <v>1</v>
      </c>
      <c r="R237" s="102">
        <f t="shared" si="109"/>
        <v>1</v>
      </c>
      <c r="S237" s="102">
        <f t="shared" si="109"/>
        <v>1</v>
      </c>
      <c r="T237" s="102">
        <f t="shared" si="109"/>
        <v>1</v>
      </c>
      <c r="U237" s="102">
        <f t="shared" si="109"/>
        <v>1</v>
      </c>
      <c r="V237" s="102">
        <f t="shared" si="109"/>
        <v>0</v>
      </c>
      <c r="W237" s="102" t="str">
        <f t="shared" si="109"/>
        <v>-</v>
      </c>
      <c r="X237" s="102" t="str">
        <f t="shared" si="109"/>
        <v>-</v>
      </c>
      <c r="Y237" s="102" t="str">
        <f t="shared" si="109"/>
        <v>-</v>
      </c>
      <c r="Z237" s="102" t="str">
        <f t="shared" si="109"/>
        <v>-</v>
      </c>
      <c r="AA237" s="102" t="str">
        <f t="shared" si="109"/>
        <v>-</v>
      </c>
      <c r="AB237" s="102" t="str">
        <f t="shared" si="109"/>
        <v>-</v>
      </c>
      <c r="AC237" s="102" t="str">
        <f t="shared" si="109"/>
        <v>-</v>
      </c>
      <c r="AD237" s="102" t="str">
        <f t="shared" si="109"/>
        <v>-</v>
      </c>
      <c r="AE237" s="102" t="str">
        <f t="shared" si="109"/>
        <v>-</v>
      </c>
      <c r="AF237" s="102" t="str">
        <f t="shared" si="109"/>
        <v>-</v>
      </c>
      <c r="AG237" s="102" t="str">
        <f t="shared" si="109"/>
        <v>-</v>
      </c>
      <c r="AH237" s="102" t="str">
        <f t="shared" si="109"/>
        <v>-</v>
      </c>
      <c r="AI237" s="102" t="str">
        <f t="shared" si="109"/>
        <v>-</v>
      </c>
      <c r="AJ237" s="102" t="str">
        <f t="shared" si="109"/>
        <v>-</v>
      </c>
      <c r="AK237" s="102" t="str">
        <f t="shared" si="109"/>
        <v>-</v>
      </c>
      <c r="AL237" s="103" t="str">
        <f t="shared" si="109"/>
        <v>-</v>
      </c>
    </row>
    <row r="238" spans="1:39" s="85" customFormat="1" ht="24" outlineLevel="2">
      <c r="A238" s="375"/>
      <c r="B238" s="1"/>
      <c r="C238" s="1"/>
      <c r="D238" s="14" t="s">
        <v>397</v>
      </c>
      <c r="E238" s="401" t="s">
        <v>31</v>
      </c>
      <c r="F238" s="116" t="str">
        <f>+IF((E80)&lt;&gt;0,(F80)/(E80),"-")</f>
        <v>-</v>
      </c>
      <c r="G238" s="116" t="str">
        <f>+IF((F80)&lt;&gt;0,(G80)/(F80),"-")</f>
        <v>-</v>
      </c>
      <c r="H238" s="117" t="str">
        <f>+IF((F80)&lt;&gt;0,(H80)/(F80),"-")</f>
        <v>-</v>
      </c>
      <c r="I238" s="104" t="str">
        <f>+IF((H80)&lt;&gt;0,(I80)/(H80),"-")</f>
        <v>-</v>
      </c>
      <c r="J238" s="105">
        <f t="shared" ref="J238:AL238" si="110">+IF((I80)&lt;&gt;0,(J80)/(I80),"-")</f>
        <v>3.2395581930792083</v>
      </c>
      <c r="K238" s="105">
        <f t="shared" si="110"/>
        <v>0</v>
      </c>
      <c r="L238" s="105" t="str">
        <f t="shared" si="110"/>
        <v>-</v>
      </c>
      <c r="M238" s="105" t="str">
        <f t="shared" si="110"/>
        <v>-</v>
      </c>
      <c r="N238" s="105" t="str">
        <f t="shared" si="110"/>
        <v>-</v>
      </c>
      <c r="O238" s="105" t="str">
        <f t="shared" si="110"/>
        <v>-</v>
      </c>
      <c r="P238" s="105" t="str">
        <f t="shared" si="110"/>
        <v>-</v>
      </c>
      <c r="Q238" s="105" t="str">
        <f t="shared" si="110"/>
        <v>-</v>
      </c>
      <c r="R238" s="105" t="str">
        <f t="shared" si="110"/>
        <v>-</v>
      </c>
      <c r="S238" s="105" t="str">
        <f t="shared" si="110"/>
        <v>-</v>
      </c>
      <c r="T238" s="105" t="str">
        <f t="shared" si="110"/>
        <v>-</v>
      </c>
      <c r="U238" s="105" t="str">
        <f t="shared" si="110"/>
        <v>-</v>
      </c>
      <c r="V238" s="105" t="str">
        <f t="shared" si="110"/>
        <v>-</v>
      </c>
      <c r="W238" s="105" t="str">
        <f t="shared" si="110"/>
        <v>-</v>
      </c>
      <c r="X238" s="105" t="str">
        <f t="shared" si="110"/>
        <v>-</v>
      </c>
      <c r="Y238" s="105" t="str">
        <f t="shared" si="110"/>
        <v>-</v>
      </c>
      <c r="Z238" s="105" t="str">
        <f t="shared" si="110"/>
        <v>-</v>
      </c>
      <c r="AA238" s="105" t="str">
        <f t="shared" si="110"/>
        <v>-</v>
      </c>
      <c r="AB238" s="105" t="str">
        <f t="shared" si="110"/>
        <v>-</v>
      </c>
      <c r="AC238" s="105" t="str">
        <f t="shared" si="110"/>
        <v>-</v>
      </c>
      <c r="AD238" s="105" t="str">
        <f t="shared" si="110"/>
        <v>-</v>
      </c>
      <c r="AE238" s="105" t="str">
        <f t="shared" si="110"/>
        <v>-</v>
      </c>
      <c r="AF238" s="105" t="str">
        <f t="shared" si="110"/>
        <v>-</v>
      </c>
      <c r="AG238" s="105" t="str">
        <f t="shared" si="110"/>
        <v>-</v>
      </c>
      <c r="AH238" s="105" t="str">
        <f t="shared" si="110"/>
        <v>-</v>
      </c>
      <c r="AI238" s="105" t="str">
        <f t="shared" si="110"/>
        <v>-</v>
      </c>
      <c r="AJ238" s="105" t="str">
        <f t="shared" si="110"/>
        <v>-</v>
      </c>
      <c r="AK238" s="105" t="str">
        <f t="shared" si="110"/>
        <v>-</v>
      </c>
      <c r="AL238" s="106" t="str">
        <f t="shared" si="110"/>
        <v>-</v>
      </c>
    </row>
    <row r="239" spans="1:39" s="85" customFormat="1" ht="15" outlineLevel="2">
      <c r="A239" s="375"/>
      <c r="B239" s="286"/>
      <c r="C239" s="286"/>
      <c r="D239" s="8" t="s">
        <v>21</v>
      </c>
      <c r="E239" s="398" t="s">
        <v>31</v>
      </c>
      <c r="F239" s="110">
        <f t="shared" ref="F239:AL240" si="111">+IF(E21&lt;&gt;0,F21/E21,"-")</f>
        <v>1.1866362805165422</v>
      </c>
      <c r="G239" s="110">
        <f t="shared" si="111"/>
        <v>0.92769449265250481</v>
      </c>
      <c r="H239" s="111">
        <f>+IF(F21&lt;&gt;0,H21/F21,"-")</f>
        <v>0.82673261595188685</v>
      </c>
      <c r="I239" s="98">
        <f t="shared" si="111"/>
        <v>1.1038694983308264</v>
      </c>
      <c r="J239" s="99">
        <f t="shared" si="111"/>
        <v>0.9445129734046217</v>
      </c>
      <c r="K239" s="99">
        <f t="shared" si="111"/>
        <v>0.91177441513057855</v>
      </c>
      <c r="L239" s="99">
        <f t="shared" si="111"/>
        <v>1.0025114285714285</v>
      </c>
      <c r="M239" s="99">
        <f t="shared" si="111"/>
        <v>1.0053191556063485</v>
      </c>
      <c r="N239" s="99">
        <f t="shared" si="111"/>
        <v>1.0174697114388855</v>
      </c>
      <c r="O239" s="99">
        <f t="shared" si="111"/>
        <v>0.97901193214724203</v>
      </c>
      <c r="P239" s="99">
        <f t="shared" si="111"/>
        <v>0.99653151152261965</v>
      </c>
      <c r="Q239" s="99">
        <f t="shared" si="111"/>
        <v>1.0374252383693199</v>
      </c>
      <c r="R239" s="99">
        <f t="shared" si="111"/>
        <v>1.0243291254302349</v>
      </c>
      <c r="S239" s="99">
        <f t="shared" si="111"/>
        <v>1.0219859933944411</v>
      </c>
      <c r="T239" s="99">
        <f t="shared" si="111"/>
        <v>1.0299106173645671</v>
      </c>
      <c r="U239" s="99">
        <f t="shared" si="111"/>
        <v>1.0730195891231364</v>
      </c>
      <c r="V239" s="99">
        <f t="shared" si="111"/>
        <v>0</v>
      </c>
      <c r="W239" s="99" t="str">
        <f t="shared" si="111"/>
        <v>-</v>
      </c>
      <c r="X239" s="99" t="str">
        <f t="shared" si="111"/>
        <v>-</v>
      </c>
      <c r="Y239" s="99" t="str">
        <f t="shared" si="111"/>
        <v>-</v>
      </c>
      <c r="Z239" s="99" t="str">
        <f t="shared" si="111"/>
        <v>-</v>
      </c>
      <c r="AA239" s="99" t="str">
        <f t="shared" si="111"/>
        <v>-</v>
      </c>
      <c r="AB239" s="99" t="str">
        <f t="shared" si="111"/>
        <v>-</v>
      </c>
      <c r="AC239" s="99" t="str">
        <f t="shared" si="111"/>
        <v>-</v>
      </c>
      <c r="AD239" s="99" t="str">
        <f t="shared" si="111"/>
        <v>-</v>
      </c>
      <c r="AE239" s="99" t="str">
        <f t="shared" si="111"/>
        <v>-</v>
      </c>
      <c r="AF239" s="99" t="str">
        <f t="shared" si="111"/>
        <v>-</v>
      </c>
      <c r="AG239" s="99" t="str">
        <f t="shared" si="111"/>
        <v>-</v>
      </c>
      <c r="AH239" s="99" t="str">
        <f t="shared" si="111"/>
        <v>-</v>
      </c>
      <c r="AI239" s="99" t="str">
        <f t="shared" si="111"/>
        <v>-</v>
      </c>
      <c r="AJ239" s="99" t="str">
        <f t="shared" si="111"/>
        <v>-</v>
      </c>
      <c r="AK239" s="99" t="str">
        <f t="shared" si="111"/>
        <v>-</v>
      </c>
      <c r="AL239" s="100" t="str">
        <f t="shared" si="111"/>
        <v>-</v>
      </c>
      <c r="AM239" s="43"/>
    </row>
    <row r="240" spans="1:39" s="85" customFormat="1" outlineLevel="2">
      <c r="A240" s="375"/>
      <c r="B240" s="1"/>
      <c r="C240" s="1"/>
      <c r="D240" s="9" t="s">
        <v>222</v>
      </c>
      <c r="E240" s="399" t="s">
        <v>31</v>
      </c>
      <c r="F240" s="112">
        <f t="shared" si="111"/>
        <v>0.99559345091656914</v>
      </c>
      <c r="G240" s="112">
        <f t="shared" si="111"/>
        <v>1.1206938469171857</v>
      </c>
      <c r="H240" s="113">
        <f>+IF(F22&lt;&gt;0,H22/F22,"-")</f>
        <v>1.0952523328441779</v>
      </c>
      <c r="I240" s="101">
        <f t="shared" si="111"/>
        <v>1.0914800117853676</v>
      </c>
      <c r="J240" s="102">
        <f t="shared" si="111"/>
        <v>0.96397545956302955</v>
      </c>
      <c r="K240" s="102">
        <f t="shared" si="111"/>
        <v>1.0000424015682927</v>
      </c>
      <c r="L240" s="102">
        <f t="shared" si="111"/>
        <v>1.0044771699664852</v>
      </c>
      <c r="M240" s="102">
        <f t="shared" si="111"/>
        <v>1.0114639599724295</v>
      </c>
      <c r="N240" s="102">
        <f t="shared" si="111"/>
        <v>1.0125383385884867</v>
      </c>
      <c r="O240" s="102">
        <f t="shared" si="111"/>
        <v>1.0191507353966736</v>
      </c>
      <c r="P240" s="102">
        <f t="shared" si="111"/>
        <v>1.0116227179195871</v>
      </c>
      <c r="Q240" s="102">
        <f t="shared" si="111"/>
        <v>0.98299058716121168</v>
      </c>
      <c r="R240" s="102">
        <f t="shared" si="111"/>
        <v>1.025163963664063</v>
      </c>
      <c r="S240" s="102">
        <f t="shared" si="111"/>
        <v>1.0249469486032434</v>
      </c>
      <c r="T240" s="102">
        <f t="shared" si="111"/>
        <v>1.0246437160722874</v>
      </c>
      <c r="U240" s="102">
        <f t="shared" si="111"/>
        <v>1.0247560062515741</v>
      </c>
      <c r="V240" s="102">
        <f t="shared" si="111"/>
        <v>0</v>
      </c>
      <c r="W240" s="102" t="str">
        <f t="shared" si="111"/>
        <v>-</v>
      </c>
      <c r="X240" s="102" t="str">
        <f t="shared" si="111"/>
        <v>-</v>
      </c>
      <c r="Y240" s="102" t="str">
        <f t="shared" si="111"/>
        <v>-</v>
      </c>
      <c r="Z240" s="102" t="str">
        <f t="shared" si="111"/>
        <v>-</v>
      </c>
      <c r="AA240" s="102" t="str">
        <f t="shared" si="111"/>
        <v>-</v>
      </c>
      <c r="AB240" s="102" t="str">
        <f t="shared" si="111"/>
        <v>-</v>
      </c>
      <c r="AC240" s="102" t="str">
        <f t="shared" si="111"/>
        <v>-</v>
      </c>
      <c r="AD240" s="102" t="str">
        <f t="shared" si="111"/>
        <v>-</v>
      </c>
      <c r="AE240" s="102" t="str">
        <f t="shared" si="111"/>
        <v>-</v>
      </c>
      <c r="AF240" s="102" t="str">
        <f t="shared" si="111"/>
        <v>-</v>
      </c>
      <c r="AG240" s="102" t="str">
        <f t="shared" si="111"/>
        <v>-</v>
      </c>
      <c r="AH240" s="102" t="str">
        <f t="shared" si="111"/>
        <v>-</v>
      </c>
      <c r="AI240" s="102" t="str">
        <f t="shared" si="111"/>
        <v>-</v>
      </c>
      <c r="AJ240" s="102" t="str">
        <f t="shared" si="111"/>
        <v>-</v>
      </c>
      <c r="AK240" s="102" t="str">
        <f t="shared" si="111"/>
        <v>-</v>
      </c>
      <c r="AL240" s="103" t="str">
        <f t="shared" si="111"/>
        <v>-</v>
      </c>
    </row>
    <row r="241" spans="1:38" s="85" customFormat="1" outlineLevel="2">
      <c r="A241" s="375"/>
      <c r="B241" s="1"/>
      <c r="C241" s="1"/>
      <c r="D241" s="10" t="s">
        <v>395</v>
      </c>
      <c r="E241" s="399" t="s">
        <v>31</v>
      </c>
      <c r="F241" s="112">
        <f>+IF((E22-E26)&lt;&gt;0,(F22-F26)/(E22-E26),"-")</f>
        <v>0.97087684026042576</v>
      </c>
      <c r="G241" s="112">
        <f>+IF((F22-F26)&lt;&gt;0,(G22-G26)/(F22-F26),"-")</f>
        <v>1.1093528136671487</v>
      </c>
      <c r="H241" s="113">
        <f>+IF((F22-F26)&lt;&gt;0,(H22-H26)/(F22-F26),"-")</f>
        <v>1.0818420186516327</v>
      </c>
      <c r="I241" s="101">
        <f>+IF((H22-H26)&lt;&gt;0,(I22-I26)/(H22-H26),"-")</f>
        <v>1.0907625440878757</v>
      </c>
      <c r="J241" s="102">
        <f t="shared" ref="J241:AL241" si="112">+IF((I22-I26)&lt;&gt;0,(J22-J26)/(I22-I26),"-")</f>
        <v>0.97589012519219664</v>
      </c>
      <c r="K241" s="102">
        <f t="shared" si="112"/>
        <v>0.99400177434523718</v>
      </c>
      <c r="L241" s="102">
        <f t="shared" si="112"/>
        <v>1.0075412672592228</v>
      </c>
      <c r="M241" s="102">
        <f t="shared" si="112"/>
        <v>1.014631538256707</v>
      </c>
      <c r="N241" s="102">
        <f t="shared" si="112"/>
        <v>1.0152287088463621</v>
      </c>
      <c r="O241" s="102">
        <f t="shared" si="112"/>
        <v>1.021985313778091</v>
      </c>
      <c r="P241" s="102">
        <f t="shared" si="112"/>
        <v>1.0163061798735633</v>
      </c>
      <c r="Q241" s="102">
        <f t="shared" si="112"/>
        <v>0.98720347282498655</v>
      </c>
      <c r="R241" s="102">
        <f t="shared" si="112"/>
        <v>1.0299999446834947</v>
      </c>
      <c r="S241" s="102">
        <f t="shared" si="112"/>
        <v>1.0299999824873864</v>
      </c>
      <c r="T241" s="102">
        <f t="shared" si="112"/>
        <v>1.0300000708439068</v>
      </c>
      <c r="U241" s="102">
        <f t="shared" si="112"/>
        <v>1.0282419283759623</v>
      </c>
      <c r="V241" s="102">
        <f t="shared" si="112"/>
        <v>0</v>
      </c>
      <c r="W241" s="102" t="str">
        <f t="shared" si="112"/>
        <v>-</v>
      </c>
      <c r="X241" s="102" t="str">
        <f t="shared" si="112"/>
        <v>-</v>
      </c>
      <c r="Y241" s="102" t="str">
        <f t="shared" si="112"/>
        <v>-</v>
      </c>
      <c r="Z241" s="102" t="str">
        <f t="shared" si="112"/>
        <v>-</v>
      </c>
      <c r="AA241" s="102" t="str">
        <f t="shared" si="112"/>
        <v>-</v>
      </c>
      <c r="AB241" s="102" t="str">
        <f t="shared" si="112"/>
        <v>-</v>
      </c>
      <c r="AC241" s="102" t="str">
        <f t="shared" si="112"/>
        <v>-</v>
      </c>
      <c r="AD241" s="102" t="str">
        <f t="shared" si="112"/>
        <v>-</v>
      </c>
      <c r="AE241" s="102" t="str">
        <f t="shared" si="112"/>
        <v>-</v>
      </c>
      <c r="AF241" s="102" t="str">
        <f t="shared" si="112"/>
        <v>-</v>
      </c>
      <c r="AG241" s="102" t="str">
        <f t="shared" si="112"/>
        <v>-</v>
      </c>
      <c r="AH241" s="102" t="str">
        <f t="shared" si="112"/>
        <v>-</v>
      </c>
      <c r="AI241" s="102" t="str">
        <f t="shared" si="112"/>
        <v>-</v>
      </c>
      <c r="AJ241" s="102" t="str">
        <f t="shared" si="112"/>
        <v>-</v>
      </c>
      <c r="AK241" s="102" t="str">
        <f t="shared" si="112"/>
        <v>-</v>
      </c>
      <c r="AL241" s="103" t="str">
        <f t="shared" si="112"/>
        <v>-</v>
      </c>
    </row>
    <row r="242" spans="1:38" s="85" customFormat="1" ht="24" outlineLevel="2">
      <c r="A242" s="375"/>
      <c r="B242" s="1"/>
      <c r="C242" s="1"/>
      <c r="D242" s="10" t="s">
        <v>397</v>
      </c>
      <c r="E242" s="399" t="s">
        <v>31</v>
      </c>
      <c r="F242" s="112" t="str">
        <f>+IF(E83&lt;&gt;0,F83/E83,"-")</f>
        <v>-</v>
      </c>
      <c r="G242" s="112" t="str">
        <f>+IF(F83&lt;&gt;0,G83/F83,"-")</f>
        <v>-</v>
      </c>
      <c r="H242" s="113" t="str">
        <f>+IF(F83&lt;&gt;0,H83/F83,"-")</f>
        <v>-</v>
      </c>
      <c r="I242" s="101" t="str">
        <f>+IF(H83&lt;&gt;0,I83/H83,"-")</f>
        <v>-</v>
      </c>
      <c r="J242" s="102">
        <f t="shared" ref="J242:AL242" si="113">+IF(I83&lt;&gt;0,J83/I83,"-")</f>
        <v>5.7314226930463223E-2</v>
      </c>
      <c r="K242" s="102">
        <f t="shared" si="113"/>
        <v>0</v>
      </c>
      <c r="L242" s="102" t="str">
        <f t="shared" si="113"/>
        <v>-</v>
      </c>
      <c r="M242" s="102" t="str">
        <f t="shared" si="113"/>
        <v>-</v>
      </c>
      <c r="N242" s="102" t="str">
        <f t="shared" si="113"/>
        <v>-</v>
      </c>
      <c r="O242" s="102" t="str">
        <f t="shared" si="113"/>
        <v>-</v>
      </c>
      <c r="P242" s="102" t="str">
        <f t="shared" si="113"/>
        <v>-</v>
      </c>
      <c r="Q242" s="102" t="str">
        <f t="shared" si="113"/>
        <v>-</v>
      </c>
      <c r="R242" s="102" t="str">
        <f t="shared" si="113"/>
        <v>-</v>
      </c>
      <c r="S242" s="102" t="str">
        <f t="shared" si="113"/>
        <v>-</v>
      </c>
      <c r="T242" s="102" t="str">
        <f t="shared" si="113"/>
        <v>-</v>
      </c>
      <c r="U242" s="102" t="str">
        <f t="shared" si="113"/>
        <v>-</v>
      </c>
      <c r="V242" s="102" t="str">
        <f t="shared" si="113"/>
        <v>-</v>
      </c>
      <c r="W242" s="102" t="str">
        <f t="shared" si="113"/>
        <v>-</v>
      </c>
      <c r="X242" s="102" t="str">
        <f t="shared" si="113"/>
        <v>-</v>
      </c>
      <c r="Y242" s="102" t="str">
        <f t="shared" si="113"/>
        <v>-</v>
      </c>
      <c r="Z242" s="102" t="str">
        <f t="shared" si="113"/>
        <v>-</v>
      </c>
      <c r="AA242" s="102" t="str">
        <f t="shared" si="113"/>
        <v>-</v>
      </c>
      <c r="AB242" s="102" t="str">
        <f t="shared" si="113"/>
        <v>-</v>
      </c>
      <c r="AC242" s="102" t="str">
        <f t="shared" si="113"/>
        <v>-</v>
      </c>
      <c r="AD242" s="102" t="str">
        <f t="shared" si="113"/>
        <v>-</v>
      </c>
      <c r="AE242" s="102" t="str">
        <f t="shared" si="113"/>
        <v>-</v>
      </c>
      <c r="AF242" s="102" t="str">
        <f t="shared" si="113"/>
        <v>-</v>
      </c>
      <c r="AG242" s="102" t="str">
        <f t="shared" si="113"/>
        <v>-</v>
      </c>
      <c r="AH242" s="102" t="str">
        <f t="shared" si="113"/>
        <v>-</v>
      </c>
      <c r="AI242" s="102" t="str">
        <f t="shared" si="113"/>
        <v>-</v>
      </c>
      <c r="AJ242" s="102" t="str">
        <f t="shared" si="113"/>
        <v>-</v>
      </c>
      <c r="AK242" s="102" t="str">
        <f t="shared" si="113"/>
        <v>-</v>
      </c>
      <c r="AL242" s="103" t="str">
        <f t="shared" si="113"/>
        <v>-</v>
      </c>
    </row>
    <row r="243" spans="1:38" s="85" customFormat="1" outlineLevel="2">
      <c r="A243" s="375"/>
      <c r="B243" s="1"/>
      <c r="C243" s="1"/>
      <c r="D243" s="10" t="s">
        <v>223</v>
      </c>
      <c r="E243" s="399" t="s">
        <v>31</v>
      </c>
      <c r="F243" s="112" t="str">
        <f t="shared" ref="F243:AL244" si="114">+IF(E23&lt;&gt;0,F23/E23,"-")</f>
        <v>-</v>
      </c>
      <c r="G243" s="112" t="str">
        <f t="shared" si="114"/>
        <v>-</v>
      </c>
      <c r="H243" s="113" t="str">
        <f>+IF(F23&lt;&gt;0,H23/F23,"-")</f>
        <v>-</v>
      </c>
      <c r="I243" s="101" t="str">
        <f t="shared" si="114"/>
        <v>-</v>
      </c>
      <c r="J243" s="102" t="str">
        <f t="shared" si="114"/>
        <v>-</v>
      </c>
      <c r="K243" s="102" t="str">
        <f t="shared" si="114"/>
        <v>-</v>
      </c>
      <c r="L243" s="102" t="str">
        <f t="shared" si="114"/>
        <v>-</v>
      </c>
      <c r="M243" s="102" t="str">
        <f t="shared" si="114"/>
        <v>-</v>
      </c>
      <c r="N243" s="102" t="str">
        <f t="shared" si="114"/>
        <v>-</v>
      </c>
      <c r="O243" s="102" t="str">
        <f t="shared" si="114"/>
        <v>-</v>
      </c>
      <c r="P243" s="102" t="str">
        <f t="shared" si="114"/>
        <v>-</v>
      </c>
      <c r="Q243" s="102" t="str">
        <f t="shared" si="114"/>
        <v>-</v>
      </c>
      <c r="R243" s="102" t="str">
        <f t="shared" si="114"/>
        <v>-</v>
      </c>
      <c r="S243" s="102" t="str">
        <f t="shared" si="114"/>
        <v>-</v>
      </c>
      <c r="T243" s="102" t="str">
        <f t="shared" si="114"/>
        <v>-</v>
      </c>
      <c r="U243" s="102" t="str">
        <f t="shared" si="114"/>
        <v>-</v>
      </c>
      <c r="V243" s="102" t="str">
        <f t="shared" si="114"/>
        <v>-</v>
      </c>
      <c r="W243" s="102" t="str">
        <f t="shared" si="114"/>
        <v>-</v>
      </c>
      <c r="X243" s="102" t="str">
        <f t="shared" si="114"/>
        <v>-</v>
      </c>
      <c r="Y243" s="102" t="str">
        <f t="shared" si="114"/>
        <v>-</v>
      </c>
      <c r="Z243" s="102" t="str">
        <f t="shared" si="114"/>
        <v>-</v>
      </c>
      <c r="AA243" s="102" t="str">
        <f t="shared" si="114"/>
        <v>-</v>
      </c>
      <c r="AB243" s="102" t="str">
        <f t="shared" si="114"/>
        <v>-</v>
      </c>
      <c r="AC243" s="102" t="str">
        <f t="shared" si="114"/>
        <v>-</v>
      </c>
      <c r="AD243" s="102" t="str">
        <f t="shared" si="114"/>
        <v>-</v>
      </c>
      <c r="AE243" s="102" t="str">
        <f t="shared" si="114"/>
        <v>-</v>
      </c>
      <c r="AF243" s="102" t="str">
        <f t="shared" si="114"/>
        <v>-</v>
      </c>
      <c r="AG243" s="102" t="str">
        <f t="shared" si="114"/>
        <v>-</v>
      </c>
      <c r="AH243" s="102" t="str">
        <f t="shared" si="114"/>
        <v>-</v>
      </c>
      <c r="AI243" s="102" t="str">
        <f t="shared" si="114"/>
        <v>-</v>
      </c>
      <c r="AJ243" s="102" t="str">
        <f t="shared" si="114"/>
        <v>-</v>
      </c>
      <c r="AK243" s="102" t="str">
        <f t="shared" si="114"/>
        <v>-</v>
      </c>
      <c r="AL243" s="103" t="str">
        <f t="shared" si="114"/>
        <v>-</v>
      </c>
    </row>
    <row r="244" spans="1:38" s="85" customFormat="1" ht="24" outlineLevel="2">
      <c r="A244" s="375"/>
      <c r="B244" s="1"/>
      <c r="C244" s="1"/>
      <c r="D244" s="12" t="s">
        <v>396</v>
      </c>
      <c r="E244" s="399" t="s">
        <v>31</v>
      </c>
      <c r="F244" s="112" t="str">
        <f t="shared" si="114"/>
        <v>-</v>
      </c>
      <c r="G244" s="112" t="str">
        <f t="shared" si="114"/>
        <v>-</v>
      </c>
      <c r="H244" s="113" t="str">
        <f>+IF(F24&lt;&gt;0,H24/F24,"-")</f>
        <v>-</v>
      </c>
      <c r="I244" s="101" t="str">
        <f t="shared" si="114"/>
        <v>-</v>
      </c>
      <c r="J244" s="102" t="str">
        <f t="shared" si="114"/>
        <v>-</v>
      </c>
      <c r="K244" s="102" t="str">
        <f t="shared" si="114"/>
        <v>-</v>
      </c>
      <c r="L244" s="102" t="str">
        <f t="shared" si="114"/>
        <v>-</v>
      </c>
      <c r="M244" s="102" t="str">
        <f t="shared" si="114"/>
        <v>-</v>
      </c>
      <c r="N244" s="102" t="str">
        <f t="shared" si="114"/>
        <v>-</v>
      </c>
      <c r="O244" s="102" t="str">
        <f t="shared" si="114"/>
        <v>-</v>
      </c>
      <c r="P244" s="102" t="str">
        <f t="shared" si="114"/>
        <v>-</v>
      </c>
      <c r="Q244" s="102" t="str">
        <f t="shared" si="114"/>
        <v>-</v>
      </c>
      <c r="R244" s="102" t="str">
        <f t="shared" si="114"/>
        <v>-</v>
      </c>
      <c r="S244" s="102" t="str">
        <f t="shared" si="114"/>
        <v>-</v>
      </c>
      <c r="T244" s="102" t="str">
        <f t="shared" si="114"/>
        <v>-</v>
      </c>
      <c r="U244" s="102" t="str">
        <f t="shared" si="114"/>
        <v>-</v>
      </c>
      <c r="V244" s="102" t="str">
        <f t="shared" si="114"/>
        <v>-</v>
      </c>
      <c r="W244" s="102" t="str">
        <f t="shared" si="114"/>
        <v>-</v>
      </c>
      <c r="X244" s="102" t="str">
        <f t="shared" si="114"/>
        <v>-</v>
      </c>
      <c r="Y244" s="102" t="str">
        <f t="shared" si="114"/>
        <v>-</v>
      </c>
      <c r="Z244" s="102" t="str">
        <f t="shared" si="114"/>
        <v>-</v>
      </c>
      <c r="AA244" s="102" t="str">
        <f t="shared" si="114"/>
        <v>-</v>
      </c>
      <c r="AB244" s="102" t="str">
        <f t="shared" si="114"/>
        <v>-</v>
      </c>
      <c r="AC244" s="102" t="str">
        <f t="shared" si="114"/>
        <v>-</v>
      </c>
      <c r="AD244" s="102" t="str">
        <f t="shared" si="114"/>
        <v>-</v>
      </c>
      <c r="AE244" s="102" t="str">
        <f t="shared" si="114"/>
        <v>-</v>
      </c>
      <c r="AF244" s="102" t="str">
        <f t="shared" si="114"/>
        <v>-</v>
      </c>
      <c r="AG244" s="102" t="str">
        <f t="shared" si="114"/>
        <v>-</v>
      </c>
      <c r="AH244" s="102" t="str">
        <f t="shared" si="114"/>
        <v>-</v>
      </c>
      <c r="AI244" s="102" t="str">
        <f t="shared" si="114"/>
        <v>-</v>
      </c>
      <c r="AJ244" s="102" t="str">
        <f t="shared" si="114"/>
        <v>-</v>
      </c>
      <c r="AK244" s="102" t="str">
        <f t="shared" si="114"/>
        <v>-</v>
      </c>
      <c r="AL244" s="103" t="str">
        <f t="shared" si="114"/>
        <v>-</v>
      </c>
    </row>
    <row r="245" spans="1:38" s="85" customFormat="1" outlineLevel="2">
      <c r="A245" s="375"/>
      <c r="B245" s="1"/>
      <c r="C245" s="1"/>
      <c r="D245" s="10" t="s">
        <v>398</v>
      </c>
      <c r="E245" s="399" t="s">
        <v>31</v>
      </c>
      <c r="F245" s="112">
        <f t="shared" ref="F245:AL247" si="115">+IF(E26&lt;&gt;0,F26/E26,"-")</f>
        <v>3.8739663770224353</v>
      </c>
      <c r="G245" s="112">
        <f t="shared" si="115"/>
        <v>1.4516870400271833</v>
      </c>
      <c r="H245" s="113">
        <f>+IF(F26&lt;&gt;0,H26/F26,"-")</f>
        <v>1.4866384276856162</v>
      </c>
      <c r="I245" s="101">
        <f t="shared" si="115"/>
        <v>1.1067179876836231</v>
      </c>
      <c r="J245" s="102">
        <f t="shared" si="115"/>
        <v>0.7145733996803908</v>
      </c>
      <c r="K245" s="102">
        <f t="shared" si="115"/>
        <v>1.1727272727272726</v>
      </c>
      <c r="L245" s="102">
        <f t="shared" si="115"/>
        <v>0.93023255813953487</v>
      </c>
      <c r="M245" s="102">
        <f t="shared" si="115"/>
        <v>0.92833333333333334</v>
      </c>
      <c r="N245" s="102">
        <f t="shared" si="115"/>
        <v>0.93536804308797128</v>
      </c>
      <c r="O245" s="102">
        <f t="shared" si="115"/>
        <v>0.93090211132437617</v>
      </c>
      <c r="P245" s="102">
        <f t="shared" si="115"/>
        <v>0.85154639175257729</v>
      </c>
      <c r="Q245" s="102">
        <f t="shared" si="115"/>
        <v>0.81113801452784506</v>
      </c>
      <c r="R245" s="102">
        <f t="shared" si="115"/>
        <v>0.78507462686567164</v>
      </c>
      <c r="S245" s="102">
        <f t="shared" si="115"/>
        <v>0.69581749049429653</v>
      </c>
      <c r="T245" s="102">
        <f t="shared" si="115"/>
        <v>0.50819672131147542</v>
      </c>
      <c r="U245" s="102">
        <f t="shared" si="115"/>
        <v>0.34354838709677421</v>
      </c>
      <c r="V245" s="102">
        <f t="shared" si="115"/>
        <v>0</v>
      </c>
      <c r="W245" s="102" t="str">
        <f t="shared" si="115"/>
        <v>-</v>
      </c>
      <c r="X245" s="102" t="str">
        <f t="shared" si="115"/>
        <v>-</v>
      </c>
      <c r="Y245" s="102" t="str">
        <f t="shared" si="115"/>
        <v>-</v>
      </c>
      <c r="Z245" s="102" t="str">
        <f t="shared" si="115"/>
        <v>-</v>
      </c>
      <c r="AA245" s="102" t="str">
        <f t="shared" si="115"/>
        <v>-</v>
      </c>
      <c r="AB245" s="102" t="str">
        <f t="shared" si="115"/>
        <v>-</v>
      </c>
      <c r="AC245" s="102" t="str">
        <f t="shared" si="115"/>
        <v>-</v>
      </c>
      <c r="AD245" s="102" t="str">
        <f t="shared" si="115"/>
        <v>-</v>
      </c>
      <c r="AE245" s="102" t="str">
        <f t="shared" si="115"/>
        <v>-</v>
      </c>
      <c r="AF245" s="102" t="str">
        <f t="shared" si="115"/>
        <v>-</v>
      </c>
      <c r="AG245" s="102" t="str">
        <f t="shared" si="115"/>
        <v>-</v>
      </c>
      <c r="AH245" s="102" t="str">
        <f t="shared" si="115"/>
        <v>-</v>
      </c>
      <c r="AI245" s="102" t="str">
        <f t="shared" si="115"/>
        <v>-</v>
      </c>
      <c r="AJ245" s="102" t="str">
        <f t="shared" si="115"/>
        <v>-</v>
      </c>
      <c r="AK245" s="102" t="str">
        <f t="shared" si="115"/>
        <v>-</v>
      </c>
      <c r="AL245" s="103" t="str">
        <f t="shared" si="115"/>
        <v>-</v>
      </c>
    </row>
    <row r="246" spans="1:38" s="85" customFormat="1" outlineLevel="2">
      <c r="A246" s="375"/>
      <c r="B246" s="1"/>
      <c r="C246" s="1"/>
      <c r="D246" s="12" t="s">
        <v>399</v>
      </c>
      <c r="E246" s="399" t="s">
        <v>31</v>
      </c>
      <c r="F246" s="112">
        <f t="shared" si="115"/>
        <v>4.1187762209825189</v>
      </c>
      <c r="G246" s="112">
        <f t="shared" si="115"/>
        <v>1.521715246350966</v>
      </c>
      <c r="H246" s="113">
        <f>+IF(F27&lt;&gt;0,H27/F27,"-")</f>
        <v>1.5589002068684001</v>
      </c>
      <c r="I246" s="101">
        <f t="shared" si="115"/>
        <v>1.1082748445754274</v>
      </c>
      <c r="J246" s="102">
        <f t="shared" si="115"/>
        <v>0.72397951796127369</v>
      </c>
      <c r="K246" s="102">
        <f t="shared" si="115"/>
        <v>1.1727272727272726</v>
      </c>
      <c r="L246" s="102">
        <f t="shared" si="115"/>
        <v>0.93023255813953487</v>
      </c>
      <c r="M246" s="102">
        <f t="shared" si="115"/>
        <v>0.92833333333333334</v>
      </c>
      <c r="N246" s="102">
        <f t="shared" si="115"/>
        <v>0.93536804308797128</v>
      </c>
      <c r="O246" s="102">
        <f t="shared" si="115"/>
        <v>0.93090211132437617</v>
      </c>
      <c r="P246" s="102">
        <f t="shared" si="115"/>
        <v>0.85154639175257729</v>
      </c>
      <c r="Q246" s="102">
        <f t="shared" si="115"/>
        <v>0.81113801452784506</v>
      </c>
      <c r="R246" s="102">
        <f t="shared" si="115"/>
        <v>0.78507462686567164</v>
      </c>
      <c r="S246" s="102">
        <f t="shared" si="115"/>
        <v>0.69581749049429653</v>
      </c>
      <c r="T246" s="102">
        <f t="shared" si="115"/>
        <v>0.50819672131147542</v>
      </c>
      <c r="U246" s="102">
        <f t="shared" si="115"/>
        <v>0.34354838709677421</v>
      </c>
      <c r="V246" s="102">
        <f t="shared" si="115"/>
        <v>0</v>
      </c>
      <c r="W246" s="102" t="str">
        <f t="shared" si="115"/>
        <v>-</v>
      </c>
      <c r="X246" s="102" t="str">
        <f t="shared" si="115"/>
        <v>-</v>
      </c>
      <c r="Y246" s="102" t="str">
        <f t="shared" si="115"/>
        <v>-</v>
      </c>
      <c r="Z246" s="102" t="str">
        <f t="shared" si="115"/>
        <v>-</v>
      </c>
      <c r="AA246" s="102" t="str">
        <f t="shared" si="115"/>
        <v>-</v>
      </c>
      <c r="AB246" s="102" t="str">
        <f t="shared" si="115"/>
        <v>-</v>
      </c>
      <c r="AC246" s="102" t="str">
        <f t="shared" si="115"/>
        <v>-</v>
      </c>
      <c r="AD246" s="102" t="str">
        <f t="shared" si="115"/>
        <v>-</v>
      </c>
      <c r="AE246" s="102" t="str">
        <f t="shared" si="115"/>
        <v>-</v>
      </c>
      <c r="AF246" s="102" t="str">
        <f t="shared" si="115"/>
        <v>-</v>
      </c>
      <c r="AG246" s="102" t="str">
        <f t="shared" si="115"/>
        <v>-</v>
      </c>
      <c r="AH246" s="102" t="str">
        <f t="shared" si="115"/>
        <v>-</v>
      </c>
      <c r="AI246" s="102" t="str">
        <f t="shared" si="115"/>
        <v>-</v>
      </c>
      <c r="AJ246" s="102" t="str">
        <f t="shared" si="115"/>
        <v>-</v>
      </c>
      <c r="AK246" s="102" t="str">
        <f t="shared" si="115"/>
        <v>-</v>
      </c>
      <c r="AL246" s="103" t="str">
        <f t="shared" si="115"/>
        <v>-</v>
      </c>
    </row>
    <row r="247" spans="1:38" s="85" customFormat="1" outlineLevel="2">
      <c r="A247" s="375"/>
      <c r="B247" s="1"/>
      <c r="C247" s="1"/>
      <c r="D247" s="9" t="s">
        <v>400</v>
      </c>
      <c r="E247" s="399" t="s">
        <v>31</v>
      </c>
      <c r="F247" s="112">
        <f t="shared" si="115"/>
        <v>1.7781377474527778</v>
      </c>
      <c r="G247" s="112">
        <f t="shared" si="115"/>
        <v>0.59311634718349016</v>
      </c>
      <c r="H247" s="113">
        <f>+IF(F28&lt;&gt;0,H28/F28,"-")</f>
        <v>0.36123453570194425</v>
      </c>
      <c r="I247" s="101">
        <f t="shared" si="115"/>
        <v>1.1689903309500587</v>
      </c>
      <c r="J247" s="102">
        <f t="shared" si="115"/>
        <v>0.8489983602838822</v>
      </c>
      <c r="K247" s="102">
        <f t="shared" si="115"/>
        <v>0.4199230848514961</v>
      </c>
      <c r="L247" s="102">
        <f t="shared" si="115"/>
        <v>0.97642553739744786</v>
      </c>
      <c r="M247" s="102">
        <f t="shared" si="115"/>
        <v>0.92143338536199171</v>
      </c>
      <c r="N247" s="102">
        <f t="shared" si="115"/>
        <v>1.0913680279877462</v>
      </c>
      <c r="O247" s="102">
        <f t="shared" si="115"/>
        <v>0.42096416559398747</v>
      </c>
      <c r="P247" s="102">
        <f t="shared" si="115"/>
        <v>0.4885777188580086</v>
      </c>
      <c r="Q247" s="102">
        <f t="shared" si="115"/>
        <v>4.8311044891828381</v>
      </c>
      <c r="R247" s="102">
        <f t="shared" si="115"/>
        <v>1.0124907959257188</v>
      </c>
      <c r="S247" s="102">
        <f t="shared" si="115"/>
        <v>0.9794729517114541</v>
      </c>
      <c r="T247" s="102">
        <f t="shared" si="115"/>
        <v>1.1090430395791528</v>
      </c>
      <c r="U247" s="102">
        <f t="shared" si="115"/>
        <v>1.7429710208253384</v>
      </c>
      <c r="V247" s="102">
        <f t="shared" si="115"/>
        <v>0</v>
      </c>
      <c r="W247" s="102" t="str">
        <f t="shared" si="115"/>
        <v>-</v>
      </c>
      <c r="X247" s="102" t="str">
        <f t="shared" si="115"/>
        <v>-</v>
      </c>
      <c r="Y247" s="102" t="str">
        <f t="shared" si="115"/>
        <v>-</v>
      </c>
      <c r="Z247" s="102" t="str">
        <f t="shared" si="115"/>
        <v>-</v>
      </c>
      <c r="AA247" s="102" t="str">
        <f t="shared" si="115"/>
        <v>-</v>
      </c>
      <c r="AB247" s="102" t="str">
        <f t="shared" si="115"/>
        <v>-</v>
      </c>
      <c r="AC247" s="102" t="str">
        <f t="shared" si="115"/>
        <v>-</v>
      </c>
      <c r="AD247" s="102" t="str">
        <f t="shared" si="115"/>
        <v>-</v>
      </c>
      <c r="AE247" s="102" t="str">
        <f t="shared" si="115"/>
        <v>-</v>
      </c>
      <c r="AF247" s="102" t="str">
        <f t="shared" si="115"/>
        <v>-</v>
      </c>
      <c r="AG247" s="102" t="str">
        <f t="shared" si="115"/>
        <v>-</v>
      </c>
      <c r="AH247" s="102" t="str">
        <f t="shared" si="115"/>
        <v>-</v>
      </c>
      <c r="AI247" s="102" t="str">
        <f t="shared" si="115"/>
        <v>-</v>
      </c>
      <c r="AJ247" s="102" t="str">
        <f t="shared" si="115"/>
        <v>-</v>
      </c>
      <c r="AK247" s="102" t="str">
        <f t="shared" si="115"/>
        <v>-</v>
      </c>
      <c r="AL247" s="103" t="str">
        <f t="shared" si="115"/>
        <v>-</v>
      </c>
    </row>
    <row r="248" spans="1:38" s="85" customFormat="1" ht="24" outlineLevel="2">
      <c r="A248" s="375"/>
      <c r="B248" s="1"/>
      <c r="C248" s="1"/>
      <c r="D248" s="14" t="s">
        <v>397</v>
      </c>
      <c r="E248" s="402" t="s">
        <v>31</v>
      </c>
      <c r="F248" s="118" t="str">
        <f>+IF(E86&lt;&gt;0,F86/E86,"-")</f>
        <v>-</v>
      </c>
      <c r="G248" s="118" t="str">
        <f>+IF(F86&lt;&gt;0,G86/F86,"-")</f>
        <v>-</v>
      </c>
      <c r="H248" s="119" t="str">
        <f>+IF(F86&lt;&gt;0,H86/F86,"-")</f>
        <v>-</v>
      </c>
      <c r="I248" s="104" t="str">
        <f>+IF(H86&lt;&gt;0,I86/H86,"-")</f>
        <v>-</v>
      </c>
      <c r="J248" s="105">
        <f t="shared" ref="J248:AL248" si="116">+IF(I86&lt;&gt;0,J86/I86,"-")</f>
        <v>0.75077093939492201</v>
      </c>
      <c r="K248" s="105">
        <f t="shared" si="116"/>
        <v>0</v>
      </c>
      <c r="L248" s="105" t="str">
        <f t="shared" si="116"/>
        <v>-</v>
      </c>
      <c r="M248" s="105" t="str">
        <f t="shared" si="116"/>
        <v>-</v>
      </c>
      <c r="N248" s="105" t="str">
        <f t="shared" si="116"/>
        <v>-</v>
      </c>
      <c r="O248" s="105" t="str">
        <f t="shared" si="116"/>
        <v>-</v>
      </c>
      <c r="P248" s="105" t="str">
        <f t="shared" si="116"/>
        <v>-</v>
      </c>
      <c r="Q248" s="105" t="str">
        <f t="shared" si="116"/>
        <v>-</v>
      </c>
      <c r="R248" s="105" t="str">
        <f t="shared" si="116"/>
        <v>-</v>
      </c>
      <c r="S248" s="105" t="str">
        <f t="shared" si="116"/>
        <v>-</v>
      </c>
      <c r="T248" s="105" t="str">
        <f t="shared" si="116"/>
        <v>-</v>
      </c>
      <c r="U248" s="105" t="str">
        <f t="shared" si="116"/>
        <v>-</v>
      </c>
      <c r="V248" s="105" t="str">
        <f t="shared" si="116"/>
        <v>-</v>
      </c>
      <c r="W248" s="105" t="str">
        <f t="shared" si="116"/>
        <v>-</v>
      </c>
      <c r="X248" s="105" t="str">
        <f t="shared" si="116"/>
        <v>-</v>
      </c>
      <c r="Y248" s="105" t="str">
        <f t="shared" si="116"/>
        <v>-</v>
      </c>
      <c r="Z248" s="105" t="str">
        <f t="shared" si="116"/>
        <v>-</v>
      </c>
      <c r="AA248" s="105" t="str">
        <f t="shared" si="116"/>
        <v>-</v>
      </c>
      <c r="AB248" s="105" t="str">
        <f t="shared" si="116"/>
        <v>-</v>
      </c>
      <c r="AC248" s="105" t="str">
        <f t="shared" si="116"/>
        <v>-</v>
      </c>
      <c r="AD248" s="105" t="str">
        <f t="shared" si="116"/>
        <v>-</v>
      </c>
      <c r="AE248" s="105" t="str">
        <f t="shared" si="116"/>
        <v>-</v>
      </c>
      <c r="AF248" s="105" t="str">
        <f t="shared" si="116"/>
        <v>-</v>
      </c>
      <c r="AG248" s="105" t="str">
        <f t="shared" si="116"/>
        <v>-</v>
      </c>
      <c r="AH248" s="105" t="str">
        <f t="shared" si="116"/>
        <v>-</v>
      </c>
      <c r="AI248" s="105" t="str">
        <f t="shared" si="116"/>
        <v>-</v>
      </c>
      <c r="AJ248" s="105" t="str">
        <f t="shared" si="116"/>
        <v>-</v>
      </c>
      <c r="AK248" s="105" t="str">
        <f t="shared" si="116"/>
        <v>-</v>
      </c>
      <c r="AL248" s="106" t="str">
        <f t="shared" si="116"/>
        <v>-</v>
      </c>
    </row>
    <row r="249" spans="1:38" s="85" customFormat="1" outlineLevel="2">
      <c r="A249" s="375"/>
      <c r="B249" s="1"/>
      <c r="C249" s="1"/>
      <c r="D249" s="35" t="s">
        <v>401</v>
      </c>
      <c r="E249" s="38"/>
      <c r="F249" s="38"/>
      <c r="G249" s="38"/>
      <c r="H249" s="38"/>
      <c r="I249" s="295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  <c r="Y249" s="296"/>
      <c r="Z249" s="296"/>
      <c r="AA249" s="296"/>
      <c r="AB249" s="296"/>
      <c r="AC249" s="296"/>
      <c r="AD249" s="296"/>
      <c r="AE249" s="296"/>
      <c r="AF249" s="296"/>
      <c r="AG249" s="296"/>
      <c r="AH249" s="296"/>
      <c r="AI249" s="296"/>
      <c r="AJ249" s="296"/>
      <c r="AK249" s="296"/>
      <c r="AL249" s="296"/>
    </row>
    <row r="250" spans="1:38" s="85" customFormat="1" outlineLevel="2">
      <c r="A250" s="375"/>
      <c r="B250" s="1"/>
      <c r="C250" s="1"/>
      <c r="D250" s="34" t="s">
        <v>2</v>
      </c>
      <c r="E250" s="403" t="s">
        <v>31</v>
      </c>
      <c r="F250" s="242" t="str">
        <f t="shared" ref="F250:AL251" si="117">+IF(E68&lt;&gt;0,F68/E68,"-")</f>
        <v>-</v>
      </c>
      <c r="G250" s="242">
        <f t="shared" si="117"/>
        <v>1.1063697969063671</v>
      </c>
      <c r="H250" s="243">
        <f>+IF(F68&lt;&gt;0,H68/F68,"-")</f>
        <v>1.0894873928115061</v>
      </c>
      <c r="I250" s="107">
        <f t="shared" si="117"/>
        <v>1.0509651462894907</v>
      </c>
      <c r="J250" s="108">
        <f t="shared" si="117"/>
        <v>0.9965380326237574</v>
      </c>
      <c r="K250" s="108">
        <f t="shared" si="117"/>
        <v>1.0300001124458633</v>
      </c>
      <c r="L250" s="108">
        <f t="shared" si="117"/>
        <v>1.0299999727073177</v>
      </c>
      <c r="M250" s="108">
        <f t="shared" si="117"/>
        <v>1.0299999163228932</v>
      </c>
      <c r="N250" s="108">
        <f t="shared" si="117"/>
        <v>1.0300000054159943</v>
      </c>
      <c r="O250" s="108">
        <f t="shared" si="117"/>
        <v>1.0300000078873706</v>
      </c>
      <c r="P250" s="108">
        <f t="shared" si="117"/>
        <v>1.0300000855103262</v>
      </c>
      <c r="Q250" s="108">
        <f t="shared" si="117"/>
        <v>1.0299999838916947</v>
      </c>
      <c r="R250" s="108">
        <f t="shared" si="117"/>
        <v>1.0299999446615342</v>
      </c>
      <c r="S250" s="108">
        <f t="shared" si="117"/>
        <v>1.0300000373750737</v>
      </c>
      <c r="T250" s="108">
        <f t="shared" si="117"/>
        <v>1.029999959177712</v>
      </c>
      <c r="U250" s="108">
        <f t="shared" si="117"/>
        <v>1.0299999790824299</v>
      </c>
      <c r="V250" s="108">
        <f t="shared" si="117"/>
        <v>0</v>
      </c>
      <c r="W250" s="108" t="str">
        <f t="shared" si="117"/>
        <v>-</v>
      </c>
      <c r="X250" s="108" t="str">
        <f t="shared" si="117"/>
        <v>-</v>
      </c>
      <c r="Y250" s="108" t="str">
        <f t="shared" si="117"/>
        <v>-</v>
      </c>
      <c r="Z250" s="108" t="str">
        <f t="shared" si="117"/>
        <v>-</v>
      </c>
      <c r="AA250" s="108" t="str">
        <f t="shared" si="117"/>
        <v>-</v>
      </c>
      <c r="AB250" s="108" t="str">
        <f t="shared" si="117"/>
        <v>-</v>
      </c>
      <c r="AC250" s="108" t="str">
        <f t="shared" si="117"/>
        <v>-</v>
      </c>
      <c r="AD250" s="108" t="str">
        <f t="shared" si="117"/>
        <v>-</v>
      </c>
      <c r="AE250" s="108" t="str">
        <f t="shared" si="117"/>
        <v>-</v>
      </c>
      <c r="AF250" s="108" t="str">
        <f t="shared" si="117"/>
        <v>-</v>
      </c>
      <c r="AG250" s="108" t="str">
        <f t="shared" si="117"/>
        <v>-</v>
      </c>
      <c r="AH250" s="108" t="str">
        <f t="shared" si="117"/>
        <v>-</v>
      </c>
      <c r="AI250" s="108" t="str">
        <f t="shared" si="117"/>
        <v>-</v>
      </c>
      <c r="AJ250" s="108" t="str">
        <f t="shared" si="117"/>
        <v>-</v>
      </c>
      <c r="AK250" s="108" t="str">
        <f t="shared" si="117"/>
        <v>-</v>
      </c>
      <c r="AL250" s="109" t="str">
        <f t="shared" si="117"/>
        <v>-</v>
      </c>
    </row>
    <row r="251" spans="1:38" s="85" customFormat="1" outlineLevel="2">
      <c r="A251" s="375"/>
      <c r="B251" s="1"/>
      <c r="C251" s="1"/>
      <c r="D251" s="9" t="s">
        <v>3</v>
      </c>
      <c r="E251" s="399" t="s">
        <v>31</v>
      </c>
      <c r="F251" s="112">
        <f t="shared" si="117"/>
        <v>1.0348942269828973</v>
      </c>
      <c r="G251" s="112">
        <f t="shared" si="117"/>
        <v>0</v>
      </c>
      <c r="H251" s="113">
        <f>+IF(F69&lt;&gt;0,H69/F69,"-")</f>
        <v>1.0993444751922368</v>
      </c>
      <c r="I251" s="101">
        <f t="shared" si="117"/>
        <v>1.2308781689379706</v>
      </c>
      <c r="J251" s="102">
        <f t="shared" si="117"/>
        <v>1.0049964024269407</v>
      </c>
      <c r="K251" s="102">
        <f t="shared" si="117"/>
        <v>1.015625</v>
      </c>
      <c r="L251" s="102">
        <f t="shared" si="117"/>
        <v>1.0153846153846153</v>
      </c>
      <c r="M251" s="102">
        <f t="shared" si="117"/>
        <v>1.0303030303030303</v>
      </c>
      <c r="N251" s="102">
        <f t="shared" si="117"/>
        <v>1.0294117647058822</v>
      </c>
      <c r="O251" s="102">
        <f t="shared" si="117"/>
        <v>1.0285714285714285</v>
      </c>
      <c r="P251" s="102">
        <f t="shared" si="117"/>
        <v>1.0277777777777777</v>
      </c>
      <c r="Q251" s="102">
        <f t="shared" si="117"/>
        <v>1.027027027027027</v>
      </c>
      <c r="R251" s="102">
        <f t="shared" si="117"/>
        <v>1.0263157894736843</v>
      </c>
      <c r="S251" s="102">
        <f t="shared" si="117"/>
        <v>1.0256410256410255</v>
      </c>
      <c r="T251" s="102">
        <f t="shared" si="117"/>
        <v>1.0249999999999999</v>
      </c>
      <c r="U251" s="102">
        <f t="shared" si="117"/>
        <v>1.024390243902439</v>
      </c>
      <c r="V251" s="102">
        <f t="shared" si="117"/>
        <v>0</v>
      </c>
      <c r="W251" s="102" t="str">
        <f t="shared" si="117"/>
        <v>-</v>
      </c>
      <c r="X251" s="102" t="str">
        <f t="shared" si="117"/>
        <v>-</v>
      </c>
      <c r="Y251" s="102" t="str">
        <f t="shared" si="117"/>
        <v>-</v>
      </c>
      <c r="Z251" s="102" t="str">
        <f t="shared" si="117"/>
        <v>-</v>
      </c>
      <c r="AA251" s="102" t="str">
        <f t="shared" si="117"/>
        <v>-</v>
      </c>
      <c r="AB251" s="102" t="str">
        <f t="shared" si="117"/>
        <v>-</v>
      </c>
      <c r="AC251" s="102" t="str">
        <f t="shared" si="117"/>
        <v>-</v>
      </c>
      <c r="AD251" s="102" t="str">
        <f t="shared" si="117"/>
        <v>-</v>
      </c>
      <c r="AE251" s="102" t="str">
        <f t="shared" si="117"/>
        <v>-</v>
      </c>
      <c r="AF251" s="102" t="str">
        <f t="shared" si="117"/>
        <v>-</v>
      </c>
      <c r="AG251" s="102" t="str">
        <f t="shared" si="117"/>
        <v>-</v>
      </c>
      <c r="AH251" s="102" t="str">
        <f t="shared" si="117"/>
        <v>-</v>
      </c>
      <c r="AI251" s="102" t="str">
        <f t="shared" si="117"/>
        <v>-</v>
      </c>
      <c r="AJ251" s="102" t="str">
        <f t="shared" si="117"/>
        <v>-</v>
      </c>
      <c r="AK251" s="102" t="str">
        <f t="shared" si="117"/>
        <v>-</v>
      </c>
      <c r="AL251" s="103" t="str">
        <f t="shared" si="117"/>
        <v>-</v>
      </c>
    </row>
    <row r="252" spans="1:38" s="85" customFormat="1" outlineLevel="2">
      <c r="A252" s="375"/>
      <c r="B252" s="1"/>
      <c r="C252" s="1"/>
      <c r="D252" s="9" t="s">
        <v>402</v>
      </c>
      <c r="E252" s="399" t="s">
        <v>31</v>
      </c>
      <c r="F252" s="112" t="str">
        <f t="shared" ref="F252:AL253" si="118">+IF(E71&lt;&gt;0,F71/E71,"-")</f>
        <v>-</v>
      </c>
      <c r="G252" s="112">
        <f t="shared" si="118"/>
        <v>1.1747280619611189</v>
      </c>
      <c r="H252" s="113">
        <f>+IF(F71&lt;&gt;0,H71/F71,"-")</f>
        <v>0</v>
      </c>
      <c r="I252" s="101" t="str">
        <f t="shared" si="118"/>
        <v>-</v>
      </c>
      <c r="J252" s="102">
        <f t="shared" si="118"/>
        <v>0.12145245103383118</v>
      </c>
      <c r="K252" s="102">
        <f t="shared" si="118"/>
        <v>0</v>
      </c>
      <c r="L252" s="102" t="str">
        <f t="shared" si="118"/>
        <v>-</v>
      </c>
      <c r="M252" s="102" t="str">
        <f t="shared" si="118"/>
        <v>-</v>
      </c>
      <c r="N252" s="102" t="str">
        <f t="shared" si="118"/>
        <v>-</v>
      </c>
      <c r="O252" s="102" t="str">
        <f t="shared" si="118"/>
        <v>-</v>
      </c>
      <c r="P252" s="102" t="str">
        <f t="shared" si="118"/>
        <v>-</v>
      </c>
      <c r="Q252" s="102" t="str">
        <f t="shared" si="118"/>
        <v>-</v>
      </c>
      <c r="R252" s="102" t="str">
        <f t="shared" si="118"/>
        <v>-</v>
      </c>
      <c r="S252" s="102" t="str">
        <f t="shared" si="118"/>
        <v>-</v>
      </c>
      <c r="T252" s="102" t="str">
        <f t="shared" si="118"/>
        <v>-</v>
      </c>
      <c r="U252" s="102" t="str">
        <f t="shared" si="118"/>
        <v>-</v>
      </c>
      <c r="V252" s="102" t="str">
        <f t="shared" si="118"/>
        <v>-</v>
      </c>
      <c r="W252" s="102" t="str">
        <f t="shared" si="118"/>
        <v>-</v>
      </c>
      <c r="X252" s="102" t="str">
        <f t="shared" si="118"/>
        <v>-</v>
      </c>
      <c r="Y252" s="102" t="str">
        <f t="shared" si="118"/>
        <v>-</v>
      </c>
      <c r="Z252" s="102" t="str">
        <f t="shared" si="118"/>
        <v>-</v>
      </c>
      <c r="AA252" s="102" t="str">
        <f t="shared" si="118"/>
        <v>-</v>
      </c>
      <c r="AB252" s="102" t="str">
        <f t="shared" si="118"/>
        <v>-</v>
      </c>
      <c r="AC252" s="102" t="str">
        <f t="shared" si="118"/>
        <v>-</v>
      </c>
      <c r="AD252" s="102" t="str">
        <f t="shared" si="118"/>
        <v>-</v>
      </c>
      <c r="AE252" s="102" t="str">
        <f t="shared" si="118"/>
        <v>-</v>
      </c>
      <c r="AF252" s="102" t="str">
        <f t="shared" si="118"/>
        <v>-</v>
      </c>
      <c r="AG252" s="102" t="str">
        <f t="shared" si="118"/>
        <v>-</v>
      </c>
      <c r="AH252" s="102" t="str">
        <f t="shared" si="118"/>
        <v>-</v>
      </c>
      <c r="AI252" s="102" t="str">
        <f t="shared" si="118"/>
        <v>-</v>
      </c>
      <c r="AJ252" s="102" t="str">
        <f t="shared" si="118"/>
        <v>-</v>
      </c>
      <c r="AK252" s="102" t="str">
        <f t="shared" si="118"/>
        <v>-</v>
      </c>
      <c r="AL252" s="103" t="str">
        <f t="shared" si="118"/>
        <v>-</v>
      </c>
    </row>
    <row r="253" spans="1:38" s="85" customFormat="1" outlineLevel="2">
      <c r="A253" s="375"/>
      <c r="B253" s="1"/>
      <c r="C253" s="1"/>
      <c r="D253" s="13" t="s">
        <v>403</v>
      </c>
      <c r="E253" s="402" t="s">
        <v>31</v>
      </c>
      <c r="F253" s="118" t="str">
        <f t="shared" si="118"/>
        <v>-</v>
      </c>
      <c r="G253" s="118">
        <f t="shared" si="118"/>
        <v>0.30711255115256647</v>
      </c>
      <c r="H253" s="119">
        <f>+IF(F72&lt;&gt;0,H72/F72,"-")</f>
        <v>0</v>
      </c>
      <c r="I253" s="104" t="str">
        <f t="shared" si="118"/>
        <v>-</v>
      </c>
      <c r="J253" s="105">
        <f t="shared" si="118"/>
        <v>0.66083188831133588</v>
      </c>
      <c r="K253" s="105">
        <f t="shared" si="118"/>
        <v>5.4083579199132679E-3</v>
      </c>
      <c r="L253" s="105">
        <f t="shared" si="118"/>
        <v>0</v>
      </c>
      <c r="M253" s="105" t="str">
        <f t="shared" si="118"/>
        <v>-</v>
      </c>
      <c r="N253" s="105" t="str">
        <f t="shared" si="118"/>
        <v>-</v>
      </c>
      <c r="O253" s="105" t="str">
        <f t="shared" si="118"/>
        <v>-</v>
      </c>
      <c r="P253" s="105" t="str">
        <f t="shared" si="118"/>
        <v>-</v>
      </c>
      <c r="Q253" s="105" t="str">
        <f t="shared" si="118"/>
        <v>-</v>
      </c>
      <c r="R253" s="105" t="str">
        <f t="shared" si="118"/>
        <v>-</v>
      </c>
      <c r="S253" s="105" t="str">
        <f t="shared" si="118"/>
        <v>-</v>
      </c>
      <c r="T253" s="105" t="str">
        <f t="shared" si="118"/>
        <v>-</v>
      </c>
      <c r="U253" s="105" t="str">
        <f t="shared" si="118"/>
        <v>-</v>
      </c>
      <c r="V253" s="105" t="str">
        <f t="shared" si="118"/>
        <v>-</v>
      </c>
      <c r="W253" s="105" t="str">
        <f t="shared" si="118"/>
        <v>-</v>
      </c>
      <c r="X253" s="105" t="str">
        <f t="shared" si="118"/>
        <v>-</v>
      </c>
      <c r="Y253" s="105" t="str">
        <f t="shared" si="118"/>
        <v>-</v>
      </c>
      <c r="Z253" s="105" t="str">
        <f t="shared" si="118"/>
        <v>-</v>
      </c>
      <c r="AA253" s="105" t="str">
        <f t="shared" si="118"/>
        <v>-</v>
      </c>
      <c r="AB253" s="105" t="str">
        <f t="shared" si="118"/>
        <v>-</v>
      </c>
      <c r="AC253" s="105" t="str">
        <f t="shared" si="118"/>
        <v>-</v>
      </c>
      <c r="AD253" s="105" t="str">
        <f t="shared" si="118"/>
        <v>-</v>
      </c>
      <c r="AE253" s="105" t="str">
        <f t="shared" si="118"/>
        <v>-</v>
      </c>
      <c r="AF253" s="105" t="str">
        <f t="shared" si="118"/>
        <v>-</v>
      </c>
      <c r="AG253" s="105" t="str">
        <f t="shared" si="118"/>
        <v>-</v>
      </c>
      <c r="AH253" s="105" t="str">
        <f t="shared" si="118"/>
        <v>-</v>
      </c>
      <c r="AI253" s="105" t="str">
        <f t="shared" si="118"/>
        <v>-</v>
      </c>
      <c r="AJ253" s="105" t="str">
        <f t="shared" si="118"/>
        <v>-</v>
      </c>
      <c r="AK253" s="105" t="str">
        <f t="shared" si="118"/>
        <v>-</v>
      </c>
      <c r="AL253" s="106" t="str">
        <f t="shared" si="118"/>
        <v>-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dxfId="15" priority="35" stopIfTrue="1" operator="containsText" text="NIE">
      <formula>NOT(ISERROR(SEARCH("NIE",I63)))</formula>
    </cfRule>
  </conditionalFormatting>
  <conditionalFormatting sqref="I233:AL248">
    <cfRule type="cellIs" priority="11" stopIfTrue="1" operator="equal">
      <formula>"-"</formula>
    </cfRule>
    <cfRule type="cellIs" dxfId="14" priority="19" stopIfTrue="1" operator="between">
      <formula>0.00000001</formula>
      <formula>1</formula>
    </cfRule>
    <cfRule type="cellIs" dxfId="13" priority="20" stopIfTrue="1" operator="greaterThan">
      <formula>1</formula>
    </cfRule>
  </conditionalFormatting>
  <conditionalFormatting sqref="I250:AL253">
    <cfRule type="cellIs" priority="10" stopIfTrue="1" operator="equal">
      <formula>"-"</formula>
    </cfRule>
    <cfRule type="cellIs" dxfId="12" priority="21" stopIfTrue="1" operator="between">
      <formula>0.00000001</formula>
      <formula>1</formula>
    </cfRule>
    <cfRule type="cellIs" dxfId="11" priority="22" stopIfTrue="1" operator="greaterThan">
      <formula>1</formula>
    </cfRule>
  </conditionalFormatting>
  <conditionalFormatting sqref="I193:AL204">
    <cfRule type="cellIs" dxfId="10" priority="12" stopIfTrue="1" operator="notBetween">
      <formula>-$D$192</formula>
      <formula>$D$192</formula>
    </cfRule>
    <cfRule type="cellIs" dxfId="9" priority="23" stopIfTrue="1" operator="notBetween">
      <formula>-$D$191</formula>
      <formula>$D$191</formula>
    </cfRule>
    <cfRule type="cellIs" dxfId="8" priority="24" stopIfTrue="1" operator="notBetween">
      <formula>-$D$190</formula>
      <formula>$D$190</formula>
    </cfRule>
  </conditionalFormatting>
  <conditionalFormatting sqref="I125:AL126">
    <cfRule type="cellIs" dxfId="7" priority="8" stopIfTrue="1" operator="between">
      <formula>-1000000000000</formula>
      <formula>1000000000000</formula>
    </cfRule>
  </conditionalFormatting>
  <conditionalFormatting sqref="I121:AL122">
    <cfRule type="cellIs" dxfId="6" priority="7" stopIfTrue="1" operator="between">
      <formula>-1000000000000</formula>
      <formula>1000000000000</formula>
    </cfRule>
  </conditionalFormatting>
  <conditionalFormatting sqref="I127:AL171">
    <cfRule type="cellIs" dxfId="5" priority="6" stopIfTrue="1" operator="equal">
      <formula>"BŁĄD"</formula>
    </cfRule>
  </conditionalFormatting>
  <conditionalFormatting sqref="I185:AL188">
    <cfRule type="cellIs" dxfId="4" priority="16" stopIfTrue="1" operator="lessThan">
      <formula>$D$182</formula>
    </cfRule>
    <cfRule type="cellIs" dxfId="3" priority="17" stopIfTrue="1" operator="lessThan">
      <formula>$D$183</formula>
    </cfRule>
    <cfRule type="cellIs" dxfId="2" priority="18" stopIfTrue="1" operator="lessThan">
      <formula>$D$184</formula>
    </cfRule>
  </conditionalFormatting>
  <conditionalFormatting sqref="I123:AL123">
    <cfRule type="cellIs" dxfId="1" priority="2" stopIfTrue="1" operator="between">
      <formula>0</formula>
      <formula>1000000000000</formula>
    </cfRule>
  </conditionalFormatting>
  <conditionalFormatting sqref="I124:AL124">
    <cfRule type="cellIs" dxfId="0" priority="1" stopIfTrue="1" operator="between">
      <formula>-1000000000000</formula>
      <formula>1000000000000</formula>
    </cfRule>
  </conditionalFormatting>
  <pageMargins left="0.51181102362204722" right="0.51181102362204722" top="0.47244094488188981" bottom="0.47244094488188981" header="0.31496062992125984" footer="0.31496062992125984"/>
  <pageSetup paperSize="9" scale="58" orientation="landscape" blackAndWhite="1" horizontalDpi="4294967293" verticalDpi="4294967293" r:id="rId1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topLeftCell="A58" workbookViewId="0">
      <selection activeCell="G9" sqref="G9"/>
    </sheetView>
  </sheetViews>
  <sheetFormatPr defaultRowHeight="11.25"/>
  <cols>
    <col min="1" max="1" width="4.5" style="36" customWidth="1"/>
    <col min="2" max="2" width="6.125" style="36" customWidth="1"/>
    <col min="3" max="3" width="46.375" style="37" customWidth="1"/>
    <col min="4" max="4" width="21" style="37" customWidth="1"/>
    <col min="5" max="5" width="19.875" style="37" customWidth="1"/>
    <col min="6" max="13" width="16.75" style="37" bestFit="1" customWidth="1"/>
    <col min="14" max="16384" width="9" style="37"/>
  </cols>
  <sheetData>
    <row r="9" spans="1:34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t="shared" ref="G9:AF9" si="0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t="shared" ref="F10:AG22" si="1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t="shared" ref="AH10:AH21" si="2">+"rokprognozy="&amp;AH$9&amp;" i lp="&amp;$A10</f>
        <v>rokprognozy=2042 i lp=10</v>
      </c>
    </row>
    <row r="11" spans="1:34">
      <c r="A11" s="36">
        <v>20</v>
      </c>
      <c r="B11" s="36">
        <v>1.1000000000000001</v>
      </c>
      <c r="C11" s="37" t="s">
        <v>43</v>
      </c>
      <c r="D11" s="37" t="str">
        <f t="shared" ref="D11:D75" si="3">+"rokprognozy="&amp;D$9&amp;" i lp="&amp;$A11</f>
        <v>rokprognozy=2013 i lp=20</v>
      </c>
      <c r="E11" s="37" t="str">
        <f t="shared" ref="E11:M36" si="4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t="shared" ref="T22:AH22" si="5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t="shared" ref="N23:AC38" si="6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t="shared" ref="AD23:AH39" si="7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>
      <c r="A28" s="36">
        <v>190</v>
      </c>
      <c r="B28" s="36">
        <v>2.2000000000000002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>
      <c r="A31" s="36">
        <v>220</v>
      </c>
      <c r="B31" s="36">
        <v>4.0999999999999996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t="shared" ref="E36:T51" si="8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>
      <c r="A37" s="36">
        <v>280</v>
      </c>
      <c r="B37" s="36">
        <v>4.4000000000000004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t="shared" ref="N39:AC55" si="9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>
      <c r="A40" s="36">
        <v>310</v>
      </c>
      <c r="B40" s="36">
        <v>5.0999999999999996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t="shared" ref="AD40:AG59" si="10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t="shared" ref="AH40:AH59" si="11">+"rokprognozy="&amp;AH$9&amp;" i lp="&amp;$A40</f>
        <v>rokprognozy=2042 i lp=310</v>
      </c>
    </row>
    <row r="41" spans="1:34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>
      <c r="A52" s="36">
        <v>430</v>
      </c>
      <c r="B52" s="36">
        <v>8.1999999999999993</v>
      </c>
      <c r="C52" s="37" t="s">
        <v>97</v>
      </c>
      <c r="D52" s="37" t="str">
        <f t="shared" si="3"/>
        <v>rokprognozy=2013 i lp=430</v>
      </c>
      <c r="E52" s="37" t="str">
        <f t="shared" ref="E52:S68" si="12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>
      <c r="A55" s="36">
        <v>460</v>
      </c>
      <c r="B55" s="36">
        <v>9.1999999999999993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t="shared" ref="N55:AC71" si="13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>
      <c r="A56" s="36">
        <v>470</v>
      </c>
      <c r="B56" s="36">
        <v>9.3000000000000007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t="shared" ref="AD60:AH75" si="14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>
      <c r="A61" s="36">
        <v>510</v>
      </c>
      <c r="B61" s="36">
        <v>9.6999999999999993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>
      <c r="A63" s="36">
        <v>530</v>
      </c>
      <c r="B63" s="36">
        <v>9.8000000000000007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t="shared" ref="E69:T84" si="15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t="shared" ref="N72:AC87" si="16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>
      <c r="A76" s="36">
        <v>660</v>
      </c>
      <c r="B76" s="36">
        <v>12</v>
      </c>
      <c r="C76" s="37" t="s">
        <v>124</v>
      </c>
      <c r="D76" s="37" t="str">
        <f t="shared" ref="D76:D104" si="17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t="shared" ref="AD76:AH91" si="18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t="shared" ref="E85:T104" si="19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t="shared" ref="N88:AC104" si="20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t="shared" ref="AD92:AH104" si="21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t="shared" ref="T104:AC104" si="22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548"/>
  <sheetViews>
    <sheetView workbookViewId="0">
      <selection activeCell="O4" sqref="O4:O548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  <col min="16" max="16" width="12.5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2025</v>
      </c>
    </row>
    <row r="3" spans="1:16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6">
      <c r="A4" s="17">
        <v>2013</v>
      </c>
      <c r="B4" s="18" t="s">
        <v>481</v>
      </c>
      <c r="C4" s="18" t="s">
        <v>482</v>
      </c>
      <c r="D4" s="19">
        <v>3206092</v>
      </c>
      <c r="E4" s="19">
        <v>2</v>
      </c>
      <c r="F4" s="19"/>
      <c r="G4" s="19">
        <v>130</v>
      </c>
      <c r="H4" s="19">
        <v>2.1</v>
      </c>
      <c r="I4" s="19"/>
      <c r="J4" s="19" t="s">
        <v>61</v>
      </c>
      <c r="K4" s="19" t="b">
        <v>1</v>
      </c>
      <c r="L4" s="15">
        <v>2024</v>
      </c>
      <c r="M4" s="16">
        <v>18266759</v>
      </c>
      <c r="N4" s="20">
        <v>41529</v>
      </c>
      <c r="O4" s="20">
        <v>41529</v>
      </c>
    </row>
    <row r="5" spans="1:16">
      <c r="A5" s="17">
        <v>2013</v>
      </c>
      <c r="B5" s="18" t="s">
        <v>481</v>
      </c>
      <c r="C5" s="18" t="s">
        <v>482</v>
      </c>
      <c r="D5" s="19">
        <v>3206092</v>
      </c>
      <c r="E5" s="19">
        <v>2</v>
      </c>
      <c r="F5" s="19"/>
      <c r="G5" s="19">
        <v>100</v>
      </c>
      <c r="H5" s="19" t="s">
        <v>57</v>
      </c>
      <c r="I5" s="19"/>
      <c r="J5" s="19" t="s">
        <v>58</v>
      </c>
      <c r="K5" s="19" t="b">
        <v>1</v>
      </c>
      <c r="L5" s="15">
        <v>2019</v>
      </c>
      <c r="M5" s="16">
        <v>300000</v>
      </c>
      <c r="N5" s="20">
        <v>41529</v>
      </c>
      <c r="O5" s="20">
        <v>41529</v>
      </c>
    </row>
    <row r="6" spans="1:16">
      <c r="A6" s="17">
        <v>2013</v>
      </c>
      <c r="B6" s="18" t="s">
        <v>481</v>
      </c>
      <c r="C6" s="18" t="s">
        <v>482</v>
      </c>
      <c r="D6" s="19">
        <v>3206092</v>
      </c>
      <c r="E6" s="19">
        <v>2</v>
      </c>
      <c r="F6" s="19"/>
      <c r="G6" s="19">
        <v>430</v>
      </c>
      <c r="H6" s="19">
        <v>8.1999999999999993</v>
      </c>
      <c r="I6" s="19" t="s">
        <v>483</v>
      </c>
      <c r="J6" s="19" t="s">
        <v>97</v>
      </c>
      <c r="K6" s="19" t="b">
        <v>0</v>
      </c>
      <c r="L6" s="15">
        <v>2019</v>
      </c>
      <c r="M6" s="16">
        <v>1406904</v>
      </c>
      <c r="N6" s="20">
        <v>41529</v>
      </c>
      <c r="O6" s="20">
        <v>41529</v>
      </c>
    </row>
    <row r="7" spans="1:16">
      <c r="A7" s="17">
        <v>2013</v>
      </c>
      <c r="B7" s="18" t="s">
        <v>481</v>
      </c>
      <c r="C7" s="18" t="s">
        <v>482</v>
      </c>
      <c r="D7" s="19">
        <v>3206092</v>
      </c>
      <c r="E7" s="19">
        <v>2</v>
      </c>
      <c r="F7" s="19"/>
      <c r="G7" s="19">
        <v>100</v>
      </c>
      <c r="H7" s="19" t="s">
        <v>57</v>
      </c>
      <c r="I7" s="19"/>
      <c r="J7" s="19" t="s">
        <v>58</v>
      </c>
      <c r="K7" s="19" t="b">
        <v>1</v>
      </c>
      <c r="L7" s="15">
        <v>2024</v>
      </c>
      <c r="M7" s="16">
        <v>300000</v>
      </c>
      <c r="N7" s="20">
        <v>41529</v>
      </c>
      <c r="O7" s="20">
        <v>41529</v>
      </c>
    </row>
    <row r="8" spans="1:16">
      <c r="A8" s="17">
        <v>2013</v>
      </c>
      <c r="B8" s="18" t="s">
        <v>481</v>
      </c>
      <c r="C8" s="18" t="s">
        <v>482</v>
      </c>
      <c r="D8" s="19">
        <v>3206092</v>
      </c>
      <c r="E8" s="19">
        <v>2</v>
      </c>
      <c r="F8" s="19"/>
      <c r="G8" s="19">
        <v>50</v>
      </c>
      <c r="H8" s="19" t="s">
        <v>48</v>
      </c>
      <c r="I8" s="19"/>
      <c r="J8" s="19" t="s">
        <v>49</v>
      </c>
      <c r="K8" s="19" t="b">
        <v>1</v>
      </c>
      <c r="L8" s="15">
        <v>2024</v>
      </c>
      <c r="M8" s="16">
        <v>6498000</v>
      </c>
      <c r="N8" s="20">
        <v>41529</v>
      </c>
      <c r="O8" s="20">
        <v>41529</v>
      </c>
    </row>
    <row r="9" spans="1:16">
      <c r="A9" s="17">
        <v>2013</v>
      </c>
      <c r="B9" s="18" t="s">
        <v>481</v>
      </c>
      <c r="C9" s="18" t="s">
        <v>482</v>
      </c>
      <c r="D9" s="19">
        <v>3206092</v>
      </c>
      <c r="E9" s="19">
        <v>2</v>
      </c>
      <c r="F9" s="19"/>
      <c r="G9" s="19">
        <v>510</v>
      </c>
      <c r="H9" s="19">
        <v>9.6999999999999993</v>
      </c>
      <c r="I9" s="19"/>
      <c r="J9" s="19" t="s">
        <v>484</v>
      </c>
      <c r="K9" s="19" t="b">
        <v>1</v>
      </c>
      <c r="L9" s="15">
        <v>2025</v>
      </c>
      <c r="M9" s="16">
        <v>0.13150000000000001</v>
      </c>
      <c r="N9" s="20">
        <v>41529</v>
      </c>
      <c r="O9" s="20">
        <v>41529</v>
      </c>
    </row>
    <row r="10" spans="1:16">
      <c r="A10" s="17">
        <v>2013</v>
      </c>
      <c r="B10" s="18" t="s">
        <v>481</v>
      </c>
      <c r="C10" s="18" t="s">
        <v>482</v>
      </c>
      <c r="D10" s="19">
        <v>3206092</v>
      </c>
      <c r="E10" s="19">
        <v>2</v>
      </c>
      <c r="F10" s="19"/>
      <c r="G10" s="19">
        <v>505</v>
      </c>
      <c r="H10" s="19" t="s">
        <v>103</v>
      </c>
      <c r="I10" s="19" t="s">
        <v>485</v>
      </c>
      <c r="J10" s="19" t="s">
        <v>104</v>
      </c>
      <c r="K10" s="19" t="b">
        <v>0</v>
      </c>
      <c r="L10" s="15">
        <v>2014</v>
      </c>
      <c r="M10" s="16">
        <v>4.0800000000000003E-2</v>
      </c>
      <c r="N10" s="20">
        <v>41529</v>
      </c>
      <c r="O10" s="20">
        <v>41529</v>
      </c>
    </row>
    <row r="11" spans="1:16">
      <c r="A11" s="17">
        <v>2013</v>
      </c>
      <c r="B11" s="18" t="s">
        <v>481</v>
      </c>
      <c r="C11" s="18" t="s">
        <v>482</v>
      </c>
      <c r="D11" s="19">
        <v>3206092</v>
      </c>
      <c r="E11" s="19">
        <v>2</v>
      </c>
      <c r="F11" s="19"/>
      <c r="G11" s="19">
        <v>190</v>
      </c>
      <c r="H11" s="19">
        <v>2.2000000000000002</v>
      </c>
      <c r="I11" s="19"/>
      <c r="J11" s="19" t="s">
        <v>72</v>
      </c>
      <c r="K11" s="19" t="b">
        <v>0</v>
      </c>
      <c r="L11" s="15">
        <v>2013</v>
      </c>
      <c r="M11" s="16">
        <v>3439772.25</v>
      </c>
      <c r="N11" s="20">
        <v>41529</v>
      </c>
      <c r="O11" s="20">
        <v>41529</v>
      </c>
    </row>
    <row r="12" spans="1:16">
      <c r="A12" s="17">
        <v>2013</v>
      </c>
      <c r="B12" s="18" t="s">
        <v>481</v>
      </c>
      <c r="C12" s="18" t="s">
        <v>482</v>
      </c>
      <c r="D12" s="19">
        <v>3206092</v>
      </c>
      <c r="E12" s="19">
        <v>2</v>
      </c>
      <c r="F12" s="19"/>
      <c r="G12" s="19">
        <v>170</v>
      </c>
      <c r="H12" s="19" t="s">
        <v>68</v>
      </c>
      <c r="I12" s="19"/>
      <c r="J12" s="19" t="s">
        <v>69</v>
      </c>
      <c r="K12" s="19" t="b">
        <v>1</v>
      </c>
      <c r="L12" s="15">
        <v>2023</v>
      </c>
      <c r="M12" s="16">
        <v>183000</v>
      </c>
      <c r="N12" s="20">
        <v>41529</v>
      </c>
      <c r="O12" s="20">
        <v>41529</v>
      </c>
    </row>
    <row r="13" spans="1:16">
      <c r="A13" s="17">
        <v>2013</v>
      </c>
      <c r="B13" s="18" t="s">
        <v>481</v>
      </c>
      <c r="C13" s="18" t="s">
        <v>482</v>
      </c>
      <c r="D13" s="19">
        <v>3206092</v>
      </c>
      <c r="E13" s="19">
        <v>2</v>
      </c>
      <c r="F13" s="19"/>
      <c r="G13" s="19">
        <v>510</v>
      </c>
      <c r="H13" s="19">
        <v>9.6999999999999993</v>
      </c>
      <c r="I13" s="19"/>
      <c r="J13" s="19" t="s">
        <v>484</v>
      </c>
      <c r="K13" s="19" t="b">
        <v>1</v>
      </c>
      <c r="L13" s="15">
        <v>2023</v>
      </c>
      <c r="M13" s="16">
        <v>0.11119999999999999</v>
      </c>
      <c r="N13" s="20">
        <v>41529</v>
      </c>
      <c r="O13" s="20">
        <v>41529</v>
      </c>
    </row>
    <row r="14" spans="1:16">
      <c r="A14" s="17">
        <v>2013</v>
      </c>
      <c r="B14" s="18" t="s">
        <v>481</v>
      </c>
      <c r="C14" s="18" t="s">
        <v>482</v>
      </c>
      <c r="D14" s="19">
        <v>3206092</v>
      </c>
      <c r="E14" s="19">
        <v>2</v>
      </c>
      <c r="F14" s="19"/>
      <c r="G14" s="19">
        <v>530</v>
      </c>
      <c r="H14" s="19">
        <v>9.8000000000000007</v>
      </c>
      <c r="I14" s="19" t="s">
        <v>486</v>
      </c>
      <c r="J14" s="19" t="s">
        <v>108</v>
      </c>
      <c r="K14" s="19" t="b">
        <v>0</v>
      </c>
      <c r="L14" s="15">
        <v>2018</v>
      </c>
      <c r="M14" s="16">
        <v>255</v>
      </c>
      <c r="N14" s="20">
        <v>41529</v>
      </c>
      <c r="O14" s="20">
        <v>41529</v>
      </c>
    </row>
    <row r="15" spans="1:16">
      <c r="A15" s="17">
        <v>2013</v>
      </c>
      <c r="B15" s="18" t="s">
        <v>481</v>
      </c>
      <c r="C15" s="18" t="s">
        <v>482</v>
      </c>
      <c r="D15" s="19">
        <v>3206092</v>
      </c>
      <c r="E15" s="19">
        <v>2</v>
      </c>
      <c r="F15" s="19"/>
      <c r="G15" s="19">
        <v>480</v>
      </c>
      <c r="H15" s="19">
        <v>9.4</v>
      </c>
      <c r="I15" s="19" t="s">
        <v>487</v>
      </c>
      <c r="J15" s="19" t="s">
        <v>100</v>
      </c>
      <c r="K15" s="19" t="b">
        <v>0</v>
      </c>
      <c r="L15" s="15">
        <v>2024</v>
      </c>
      <c r="M15" s="16">
        <v>7.7700000000000005E-2</v>
      </c>
      <c r="N15" s="20">
        <v>41529</v>
      </c>
      <c r="O15" s="20">
        <v>41529</v>
      </c>
    </row>
    <row r="16" spans="1:16">
      <c r="A16" s="17">
        <v>2013</v>
      </c>
      <c r="B16" s="18" t="s">
        <v>481</v>
      </c>
      <c r="C16" s="18" t="s">
        <v>482</v>
      </c>
      <c r="D16" s="19">
        <v>3206092</v>
      </c>
      <c r="E16" s="19">
        <v>2</v>
      </c>
      <c r="F16" s="19"/>
      <c r="G16" s="19">
        <v>90</v>
      </c>
      <c r="H16" s="19">
        <v>1.2</v>
      </c>
      <c r="I16" s="19"/>
      <c r="J16" s="19" t="s">
        <v>56</v>
      </c>
      <c r="K16" s="19" t="b">
        <v>1</v>
      </c>
      <c r="L16" s="15">
        <v>2021</v>
      </c>
      <c r="M16" s="16">
        <v>300000</v>
      </c>
      <c r="N16" s="20">
        <v>41529</v>
      </c>
      <c r="O16" s="20">
        <v>41529</v>
      </c>
    </row>
    <row r="17" spans="1:15">
      <c r="A17" s="17">
        <v>2013</v>
      </c>
      <c r="B17" s="18" t="s">
        <v>481</v>
      </c>
      <c r="C17" s="18" t="s">
        <v>482</v>
      </c>
      <c r="D17" s="19">
        <v>3206092</v>
      </c>
      <c r="E17" s="19">
        <v>2</v>
      </c>
      <c r="F17" s="19"/>
      <c r="G17" s="19">
        <v>70</v>
      </c>
      <c r="H17" s="19" t="s">
        <v>52</v>
      </c>
      <c r="I17" s="19"/>
      <c r="J17" s="19" t="s">
        <v>53</v>
      </c>
      <c r="K17" s="19" t="b">
        <v>1</v>
      </c>
      <c r="L17" s="15">
        <v>2022</v>
      </c>
      <c r="M17" s="16">
        <v>7450000</v>
      </c>
      <c r="N17" s="20">
        <v>41529</v>
      </c>
      <c r="O17" s="20">
        <v>41529</v>
      </c>
    </row>
    <row r="18" spans="1:15">
      <c r="A18" s="17">
        <v>2013</v>
      </c>
      <c r="B18" s="18" t="s">
        <v>481</v>
      </c>
      <c r="C18" s="18" t="s">
        <v>482</v>
      </c>
      <c r="D18" s="19">
        <v>3206092</v>
      </c>
      <c r="E18" s="19">
        <v>2</v>
      </c>
      <c r="F18" s="19"/>
      <c r="G18" s="19">
        <v>500</v>
      </c>
      <c r="H18" s="19">
        <v>9.6</v>
      </c>
      <c r="I18" s="19" t="s">
        <v>488</v>
      </c>
      <c r="J18" s="19" t="s">
        <v>102</v>
      </c>
      <c r="K18" s="19" t="b">
        <v>0</v>
      </c>
      <c r="L18" s="15">
        <v>2014</v>
      </c>
      <c r="M18" s="16">
        <v>2.7199999999999998E-2</v>
      </c>
      <c r="N18" s="20">
        <v>41529</v>
      </c>
      <c r="O18" s="20">
        <v>41529</v>
      </c>
    </row>
    <row r="19" spans="1:15">
      <c r="A19" s="17">
        <v>2013</v>
      </c>
      <c r="B19" s="18" t="s">
        <v>481</v>
      </c>
      <c r="C19" s="18" t="s">
        <v>482</v>
      </c>
      <c r="D19" s="19">
        <v>3206092</v>
      </c>
      <c r="E19" s="19">
        <v>2</v>
      </c>
      <c r="F19" s="19"/>
      <c r="G19" s="19">
        <v>470</v>
      </c>
      <c r="H19" s="19">
        <v>9.3000000000000007</v>
      </c>
      <c r="I19" s="19" t="s">
        <v>489</v>
      </c>
      <c r="J19" s="19" t="s">
        <v>490</v>
      </c>
      <c r="K19" s="19" t="b">
        <v>1</v>
      </c>
      <c r="L19" s="15">
        <v>2023</v>
      </c>
      <c r="M19" s="16">
        <v>8.2500000000000004E-2</v>
      </c>
      <c r="N19" s="20">
        <v>41529</v>
      </c>
      <c r="O19" s="20">
        <v>41529</v>
      </c>
    </row>
    <row r="20" spans="1:15">
      <c r="A20" s="17">
        <v>2013</v>
      </c>
      <c r="B20" s="18" t="s">
        <v>481</v>
      </c>
      <c r="C20" s="18" t="s">
        <v>482</v>
      </c>
      <c r="D20" s="19">
        <v>3206092</v>
      </c>
      <c r="E20" s="19">
        <v>2</v>
      </c>
      <c r="F20" s="19"/>
      <c r="G20" s="19">
        <v>10</v>
      </c>
      <c r="H20" s="19">
        <v>1</v>
      </c>
      <c r="I20" s="19" t="s">
        <v>491</v>
      </c>
      <c r="J20" s="19" t="s">
        <v>26</v>
      </c>
      <c r="K20" s="19" t="b">
        <v>1</v>
      </c>
      <c r="L20" s="15">
        <v>2019</v>
      </c>
      <c r="M20" s="16">
        <v>18768748</v>
      </c>
      <c r="N20" s="20">
        <v>41529</v>
      </c>
      <c r="O20" s="20">
        <v>41529</v>
      </c>
    </row>
    <row r="21" spans="1:15">
      <c r="A21" s="17">
        <v>2013</v>
      </c>
      <c r="B21" s="18" t="s">
        <v>481</v>
      </c>
      <c r="C21" s="18" t="s">
        <v>482</v>
      </c>
      <c r="D21" s="19">
        <v>3206092</v>
      </c>
      <c r="E21" s="19">
        <v>2</v>
      </c>
      <c r="F21" s="19"/>
      <c r="G21" s="19">
        <v>310</v>
      </c>
      <c r="H21" s="19">
        <v>5.0999999999999996</v>
      </c>
      <c r="I21" s="19"/>
      <c r="J21" s="19" t="s">
        <v>84</v>
      </c>
      <c r="K21" s="19" t="b">
        <v>1</v>
      </c>
      <c r="L21" s="15">
        <v>2019</v>
      </c>
      <c r="M21" s="16">
        <v>1200000</v>
      </c>
      <c r="N21" s="20">
        <v>41529</v>
      </c>
      <c r="O21" s="20">
        <v>41529</v>
      </c>
    </row>
    <row r="22" spans="1:15">
      <c r="A22" s="17">
        <v>2013</v>
      </c>
      <c r="B22" s="18" t="s">
        <v>481</v>
      </c>
      <c r="C22" s="18" t="s">
        <v>482</v>
      </c>
      <c r="D22" s="19">
        <v>3206092</v>
      </c>
      <c r="E22" s="19">
        <v>2</v>
      </c>
      <c r="F22" s="19"/>
      <c r="G22" s="19">
        <v>20</v>
      </c>
      <c r="H22" s="19">
        <v>1.1000000000000001</v>
      </c>
      <c r="I22" s="19"/>
      <c r="J22" s="19" t="s">
        <v>43</v>
      </c>
      <c r="K22" s="19" t="b">
        <v>1</v>
      </c>
      <c r="L22" s="15">
        <v>2017</v>
      </c>
      <c r="M22" s="16">
        <v>17937269</v>
      </c>
      <c r="N22" s="20">
        <v>41529</v>
      </c>
      <c r="O22" s="20">
        <v>41529</v>
      </c>
    </row>
    <row r="23" spans="1:15">
      <c r="A23" s="17">
        <v>2013</v>
      </c>
      <c r="B23" s="18" t="s">
        <v>481</v>
      </c>
      <c r="C23" s="18" t="s">
        <v>482</v>
      </c>
      <c r="D23" s="19">
        <v>3206092</v>
      </c>
      <c r="E23" s="19">
        <v>2</v>
      </c>
      <c r="F23" s="19"/>
      <c r="G23" s="19">
        <v>200</v>
      </c>
      <c r="H23" s="19">
        <v>3</v>
      </c>
      <c r="I23" s="19" t="s">
        <v>492</v>
      </c>
      <c r="J23" s="19" t="s">
        <v>23</v>
      </c>
      <c r="K23" s="19" t="b">
        <v>0</v>
      </c>
      <c r="L23" s="15">
        <v>2022</v>
      </c>
      <c r="M23" s="16">
        <v>1330000</v>
      </c>
      <c r="N23" s="20">
        <v>41529</v>
      </c>
      <c r="O23" s="20">
        <v>41529</v>
      </c>
    </row>
    <row r="24" spans="1:15">
      <c r="A24" s="17">
        <v>2013</v>
      </c>
      <c r="B24" s="18" t="s">
        <v>481</v>
      </c>
      <c r="C24" s="18" t="s">
        <v>482</v>
      </c>
      <c r="D24" s="19">
        <v>3206092</v>
      </c>
      <c r="E24" s="19">
        <v>2</v>
      </c>
      <c r="F24" s="19"/>
      <c r="G24" s="19">
        <v>520</v>
      </c>
      <c r="H24" s="19" t="s">
        <v>106</v>
      </c>
      <c r="I24" s="19"/>
      <c r="J24" s="19" t="s">
        <v>493</v>
      </c>
      <c r="K24" s="19" t="b">
        <v>1</v>
      </c>
      <c r="L24" s="15">
        <v>2015</v>
      </c>
      <c r="M24" s="16">
        <v>4.7399999999999998E-2</v>
      </c>
      <c r="N24" s="20">
        <v>41529</v>
      </c>
      <c r="O24" s="20">
        <v>41529</v>
      </c>
    </row>
    <row r="25" spans="1:15">
      <c r="A25" s="17">
        <v>2013</v>
      </c>
      <c r="B25" s="18" t="s">
        <v>481</v>
      </c>
      <c r="C25" s="18" t="s">
        <v>482</v>
      </c>
      <c r="D25" s="19">
        <v>3206092</v>
      </c>
      <c r="E25" s="19">
        <v>2</v>
      </c>
      <c r="F25" s="19"/>
      <c r="G25" s="19">
        <v>500</v>
      </c>
      <c r="H25" s="19">
        <v>9.6</v>
      </c>
      <c r="I25" s="19" t="s">
        <v>488</v>
      </c>
      <c r="J25" s="19" t="s">
        <v>102</v>
      </c>
      <c r="K25" s="19" t="b">
        <v>0</v>
      </c>
      <c r="L25" s="15">
        <v>2024</v>
      </c>
      <c r="M25" s="16">
        <v>7.7700000000000005E-2</v>
      </c>
      <c r="N25" s="20">
        <v>41529</v>
      </c>
      <c r="O25" s="20">
        <v>41529</v>
      </c>
    </row>
    <row r="26" spans="1:15">
      <c r="A26" s="17">
        <v>2013</v>
      </c>
      <c r="B26" s="18" t="s">
        <v>481</v>
      </c>
      <c r="C26" s="18" t="s">
        <v>482</v>
      </c>
      <c r="D26" s="19">
        <v>3206092</v>
      </c>
      <c r="E26" s="19">
        <v>2</v>
      </c>
      <c r="F26" s="19"/>
      <c r="G26" s="19">
        <v>90</v>
      </c>
      <c r="H26" s="19">
        <v>1.2</v>
      </c>
      <c r="I26" s="19"/>
      <c r="J26" s="19" t="s">
        <v>56</v>
      </c>
      <c r="K26" s="19" t="b">
        <v>1</v>
      </c>
      <c r="L26" s="15">
        <v>2022</v>
      </c>
      <c r="M26" s="16">
        <v>300000</v>
      </c>
      <c r="N26" s="20">
        <v>41529</v>
      </c>
      <c r="O26" s="20">
        <v>41529</v>
      </c>
    </row>
    <row r="27" spans="1:15">
      <c r="A27" s="17">
        <v>2013</v>
      </c>
      <c r="B27" s="18" t="s">
        <v>481</v>
      </c>
      <c r="C27" s="18" t="s">
        <v>482</v>
      </c>
      <c r="D27" s="19">
        <v>3206092</v>
      </c>
      <c r="E27" s="19">
        <v>2</v>
      </c>
      <c r="F27" s="19"/>
      <c r="G27" s="19">
        <v>100</v>
      </c>
      <c r="H27" s="19" t="s">
        <v>57</v>
      </c>
      <c r="I27" s="19"/>
      <c r="J27" s="19" t="s">
        <v>58</v>
      </c>
      <c r="K27" s="19" t="b">
        <v>1</v>
      </c>
      <c r="L27" s="15">
        <v>2018</v>
      </c>
      <c r="M27" s="16">
        <v>300000</v>
      </c>
      <c r="N27" s="20">
        <v>41529</v>
      </c>
      <c r="O27" s="20">
        <v>41529</v>
      </c>
    </row>
    <row r="28" spans="1:15">
      <c r="A28" s="17">
        <v>2013</v>
      </c>
      <c r="B28" s="18" t="s">
        <v>481</v>
      </c>
      <c r="C28" s="18" t="s">
        <v>482</v>
      </c>
      <c r="D28" s="19">
        <v>3206092</v>
      </c>
      <c r="E28" s="19">
        <v>2</v>
      </c>
      <c r="F28" s="19"/>
      <c r="G28" s="19">
        <v>180</v>
      </c>
      <c r="H28" s="19" t="s">
        <v>70</v>
      </c>
      <c r="I28" s="19"/>
      <c r="J28" s="19" t="s">
        <v>71</v>
      </c>
      <c r="K28" s="19" t="b">
        <v>0</v>
      </c>
      <c r="L28" s="15">
        <v>2020</v>
      </c>
      <c r="M28" s="16">
        <v>413000</v>
      </c>
      <c r="N28" s="20">
        <v>41529</v>
      </c>
      <c r="O28" s="20">
        <v>41529</v>
      </c>
    </row>
    <row r="29" spans="1:15">
      <c r="A29" s="17">
        <v>2013</v>
      </c>
      <c r="B29" s="18" t="s">
        <v>481</v>
      </c>
      <c r="C29" s="18" t="s">
        <v>482</v>
      </c>
      <c r="D29" s="19">
        <v>3206092</v>
      </c>
      <c r="E29" s="19">
        <v>2</v>
      </c>
      <c r="F29" s="19"/>
      <c r="G29" s="19">
        <v>170</v>
      </c>
      <c r="H29" s="19" t="s">
        <v>68</v>
      </c>
      <c r="I29" s="19"/>
      <c r="J29" s="19" t="s">
        <v>69</v>
      </c>
      <c r="K29" s="19" t="b">
        <v>1</v>
      </c>
      <c r="L29" s="15">
        <v>2019</v>
      </c>
      <c r="M29" s="16">
        <v>485000</v>
      </c>
      <c r="N29" s="20">
        <v>41529</v>
      </c>
      <c r="O29" s="20">
        <v>41529</v>
      </c>
    </row>
    <row r="30" spans="1:15">
      <c r="A30" s="17">
        <v>2013</v>
      </c>
      <c r="B30" s="18" t="s">
        <v>481</v>
      </c>
      <c r="C30" s="18" t="s">
        <v>482</v>
      </c>
      <c r="D30" s="19">
        <v>3206092</v>
      </c>
      <c r="E30" s="19">
        <v>2</v>
      </c>
      <c r="F30" s="19"/>
      <c r="G30" s="19">
        <v>310</v>
      </c>
      <c r="H30" s="19">
        <v>5.0999999999999996</v>
      </c>
      <c r="I30" s="19"/>
      <c r="J30" s="19" t="s">
        <v>84</v>
      </c>
      <c r="K30" s="19" t="b">
        <v>1</v>
      </c>
      <c r="L30" s="15">
        <v>2025</v>
      </c>
      <c r="M30" s="16">
        <v>743000</v>
      </c>
      <c r="N30" s="20">
        <v>41529</v>
      </c>
      <c r="O30" s="20">
        <v>41529</v>
      </c>
    </row>
    <row r="31" spans="1:15">
      <c r="A31" s="17">
        <v>2013</v>
      </c>
      <c r="B31" s="18" t="s">
        <v>481</v>
      </c>
      <c r="C31" s="18" t="s">
        <v>482</v>
      </c>
      <c r="D31" s="19">
        <v>3206092</v>
      </c>
      <c r="E31" s="19">
        <v>2</v>
      </c>
      <c r="F31" s="19"/>
      <c r="G31" s="19">
        <v>420</v>
      </c>
      <c r="H31" s="19">
        <v>8.1</v>
      </c>
      <c r="I31" s="19" t="s">
        <v>494</v>
      </c>
      <c r="J31" s="19" t="s">
        <v>96</v>
      </c>
      <c r="K31" s="19" t="b">
        <v>0</v>
      </c>
      <c r="L31" s="15">
        <v>2025</v>
      </c>
      <c r="M31" s="16">
        <v>2736654</v>
      </c>
      <c r="N31" s="20">
        <v>41529</v>
      </c>
      <c r="O31" s="20">
        <v>41529</v>
      </c>
    </row>
    <row r="32" spans="1:15">
      <c r="A32" s="17">
        <v>2013</v>
      </c>
      <c r="B32" s="18" t="s">
        <v>481</v>
      </c>
      <c r="C32" s="18" t="s">
        <v>482</v>
      </c>
      <c r="D32" s="19">
        <v>3206092</v>
      </c>
      <c r="E32" s="19">
        <v>2</v>
      </c>
      <c r="F32" s="19"/>
      <c r="G32" s="19">
        <v>350</v>
      </c>
      <c r="H32" s="19">
        <v>6</v>
      </c>
      <c r="I32" s="19"/>
      <c r="J32" s="19" t="s">
        <v>27</v>
      </c>
      <c r="K32" s="19" t="b">
        <v>1</v>
      </c>
      <c r="L32" s="15">
        <v>2014</v>
      </c>
      <c r="M32" s="16">
        <v>10540850</v>
      </c>
      <c r="N32" s="20">
        <v>41529</v>
      </c>
      <c r="O32" s="20">
        <v>41529</v>
      </c>
    </row>
    <row r="33" spans="1:15">
      <c r="A33" s="17">
        <v>2013</v>
      </c>
      <c r="B33" s="18" t="s">
        <v>481</v>
      </c>
      <c r="C33" s="18" t="s">
        <v>482</v>
      </c>
      <c r="D33" s="19">
        <v>3206092</v>
      </c>
      <c r="E33" s="19">
        <v>2</v>
      </c>
      <c r="F33" s="19"/>
      <c r="G33" s="19">
        <v>40</v>
      </c>
      <c r="H33" s="19" t="s">
        <v>46</v>
      </c>
      <c r="I33" s="19"/>
      <c r="J33" s="19" t="s">
        <v>47</v>
      </c>
      <c r="K33" s="19" t="b">
        <v>1</v>
      </c>
      <c r="L33" s="15">
        <v>2019</v>
      </c>
      <c r="M33" s="16">
        <v>10000</v>
      </c>
      <c r="N33" s="20">
        <v>41529</v>
      </c>
      <c r="O33" s="20">
        <v>41529</v>
      </c>
    </row>
    <row r="34" spans="1:15">
      <c r="A34" s="17">
        <v>2013</v>
      </c>
      <c r="B34" s="18" t="s">
        <v>481</v>
      </c>
      <c r="C34" s="18" t="s">
        <v>482</v>
      </c>
      <c r="D34" s="19">
        <v>3206092</v>
      </c>
      <c r="E34" s="19">
        <v>2</v>
      </c>
      <c r="F34" s="19"/>
      <c r="G34" s="19">
        <v>560</v>
      </c>
      <c r="H34" s="19">
        <v>10.1</v>
      </c>
      <c r="I34" s="19"/>
      <c r="J34" s="19" t="s">
        <v>112</v>
      </c>
      <c r="K34" s="19" t="b">
        <v>0</v>
      </c>
      <c r="L34" s="15">
        <v>2022</v>
      </c>
      <c r="M34" s="16">
        <v>1330000</v>
      </c>
      <c r="N34" s="20">
        <v>41529</v>
      </c>
      <c r="O34" s="20">
        <v>41529</v>
      </c>
    </row>
    <row r="35" spans="1:15">
      <c r="A35" s="17">
        <v>2013</v>
      </c>
      <c r="B35" s="18" t="s">
        <v>481</v>
      </c>
      <c r="C35" s="18" t="s">
        <v>482</v>
      </c>
      <c r="D35" s="19">
        <v>3206092</v>
      </c>
      <c r="E35" s="19">
        <v>2</v>
      </c>
      <c r="F35" s="19"/>
      <c r="G35" s="19">
        <v>10</v>
      </c>
      <c r="H35" s="19">
        <v>1</v>
      </c>
      <c r="I35" s="19" t="s">
        <v>491</v>
      </c>
      <c r="J35" s="19" t="s">
        <v>26</v>
      </c>
      <c r="K35" s="19" t="b">
        <v>1</v>
      </c>
      <c r="L35" s="15">
        <v>2014</v>
      </c>
      <c r="M35" s="16">
        <v>20250344</v>
      </c>
      <c r="N35" s="20">
        <v>41529</v>
      </c>
      <c r="O35" s="20">
        <v>41529</v>
      </c>
    </row>
    <row r="36" spans="1:15">
      <c r="A36" s="17">
        <v>2013</v>
      </c>
      <c r="B36" s="18" t="s">
        <v>481</v>
      </c>
      <c r="C36" s="18" t="s">
        <v>482</v>
      </c>
      <c r="D36" s="19">
        <v>3206092</v>
      </c>
      <c r="E36" s="19">
        <v>2</v>
      </c>
      <c r="F36" s="19"/>
      <c r="G36" s="19">
        <v>480</v>
      </c>
      <c r="H36" s="19">
        <v>9.4</v>
      </c>
      <c r="I36" s="19" t="s">
        <v>487</v>
      </c>
      <c r="J36" s="19" t="s">
        <v>100</v>
      </c>
      <c r="K36" s="19" t="b">
        <v>0</v>
      </c>
      <c r="L36" s="15">
        <v>2019</v>
      </c>
      <c r="M36" s="16">
        <v>8.9800000000000005E-2</v>
      </c>
      <c r="N36" s="20">
        <v>41529</v>
      </c>
      <c r="O36" s="20">
        <v>41529</v>
      </c>
    </row>
    <row r="37" spans="1:15">
      <c r="A37" s="17">
        <v>2013</v>
      </c>
      <c r="B37" s="18" t="s">
        <v>481</v>
      </c>
      <c r="C37" s="18" t="s">
        <v>482</v>
      </c>
      <c r="D37" s="19">
        <v>3206092</v>
      </c>
      <c r="E37" s="19">
        <v>2</v>
      </c>
      <c r="F37" s="19"/>
      <c r="G37" s="19">
        <v>580</v>
      </c>
      <c r="H37" s="19">
        <v>11.1</v>
      </c>
      <c r="I37" s="19"/>
      <c r="J37" s="19" t="s">
        <v>114</v>
      </c>
      <c r="K37" s="19" t="b">
        <v>0</v>
      </c>
      <c r="L37" s="15">
        <v>2014</v>
      </c>
      <c r="M37" s="16">
        <v>6758808</v>
      </c>
      <c r="N37" s="20">
        <v>41529</v>
      </c>
      <c r="O37" s="20">
        <v>41529</v>
      </c>
    </row>
    <row r="38" spans="1:15">
      <c r="A38" s="17">
        <v>2013</v>
      </c>
      <c r="B38" s="18" t="s">
        <v>481</v>
      </c>
      <c r="C38" s="18" t="s">
        <v>482</v>
      </c>
      <c r="D38" s="19">
        <v>3206092</v>
      </c>
      <c r="E38" s="19">
        <v>2</v>
      </c>
      <c r="F38" s="19"/>
      <c r="G38" s="19">
        <v>380</v>
      </c>
      <c r="H38" s="19">
        <v>6.2</v>
      </c>
      <c r="I38" s="19" t="s">
        <v>495</v>
      </c>
      <c r="J38" s="19" t="s">
        <v>93</v>
      </c>
      <c r="K38" s="19" t="b">
        <v>0</v>
      </c>
      <c r="L38" s="15">
        <v>2022</v>
      </c>
      <c r="M38" s="16">
        <v>0.19070000000000001</v>
      </c>
      <c r="N38" s="20">
        <v>41529</v>
      </c>
      <c r="O38" s="20">
        <v>41529</v>
      </c>
    </row>
    <row r="39" spans="1:15">
      <c r="A39" s="17">
        <v>2013</v>
      </c>
      <c r="B39" s="18" t="s">
        <v>481</v>
      </c>
      <c r="C39" s="18" t="s">
        <v>482</v>
      </c>
      <c r="D39" s="19">
        <v>3206092</v>
      </c>
      <c r="E39" s="19">
        <v>2</v>
      </c>
      <c r="F39" s="19"/>
      <c r="G39" s="19">
        <v>130</v>
      </c>
      <c r="H39" s="19">
        <v>2.1</v>
      </c>
      <c r="I39" s="19"/>
      <c r="J39" s="19" t="s">
        <v>61</v>
      </c>
      <c r="K39" s="19" t="b">
        <v>1</v>
      </c>
      <c r="L39" s="15">
        <v>2022</v>
      </c>
      <c r="M39" s="16">
        <v>17393510</v>
      </c>
      <c r="N39" s="20">
        <v>41529</v>
      </c>
      <c r="O39" s="20">
        <v>41529</v>
      </c>
    </row>
    <row r="40" spans="1:15">
      <c r="A40" s="17">
        <v>2013</v>
      </c>
      <c r="B40" s="18" t="s">
        <v>481</v>
      </c>
      <c r="C40" s="18" t="s">
        <v>482</v>
      </c>
      <c r="D40" s="19">
        <v>3206092</v>
      </c>
      <c r="E40" s="19">
        <v>2</v>
      </c>
      <c r="F40" s="19"/>
      <c r="G40" s="19">
        <v>780</v>
      </c>
      <c r="H40" s="19" t="s">
        <v>143</v>
      </c>
      <c r="I40" s="19"/>
      <c r="J40" s="19" t="s">
        <v>144</v>
      </c>
      <c r="K40" s="19" t="b">
        <v>1</v>
      </c>
      <c r="L40" s="15">
        <v>2013</v>
      </c>
      <c r="M40" s="16">
        <v>508688.52</v>
      </c>
      <c r="N40" s="20">
        <v>41529</v>
      </c>
      <c r="O40" s="20">
        <v>41529</v>
      </c>
    </row>
    <row r="41" spans="1:15">
      <c r="A41" s="17">
        <v>2013</v>
      </c>
      <c r="B41" s="18" t="s">
        <v>481</v>
      </c>
      <c r="C41" s="18" t="s">
        <v>482</v>
      </c>
      <c r="D41" s="19">
        <v>3206092</v>
      </c>
      <c r="E41" s="19">
        <v>2</v>
      </c>
      <c r="F41" s="19"/>
      <c r="G41" s="19">
        <v>550</v>
      </c>
      <c r="H41" s="19">
        <v>10</v>
      </c>
      <c r="I41" s="19"/>
      <c r="J41" s="19" t="s">
        <v>111</v>
      </c>
      <c r="K41" s="19" t="b">
        <v>0</v>
      </c>
      <c r="L41" s="15">
        <v>2023</v>
      </c>
      <c r="M41" s="16">
        <v>1510000</v>
      </c>
      <c r="N41" s="20">
        <v>41529</v>
      </c>
      <c r="O41" s="20">
        <v>41529</v>
      </c>
    </row>
    <row r="42" spans="1:15">
      <c r="A42" s="17">
        <v>2013</v>
      </c>
      <c r="B42" s="18" t="s">
        <v>481</v>
      </c>
      <c r="C42" s="18" t="s">
        <v>482</v>
      </c>
      <c r="D42" s="19">
        <v>3206092</v>
      </c>
      <c r="E42" s="19">
        <v>2</v>
      </c>
      <c r="F42" s="19"/>
      <c r="G42" s="19">
        <v>550</v>
      </c>
      <c r="H42" s="19">
        <v>10</v>
      </c>
      <c r="I42" s="19"/>
      <c r="J42" s="19" t="s">
        <v>111</v>
      </c>
      <c r="K42" s="19" t="b">
        <v>0</v>
      </c>
      <c r="L42" s="15">
        <v>2024</v>
      </c>
      <c r="M42" s="16">
        <v>1548000</v>
      </c>
      <c r="N42" s="20">
        <v>41529</v>
      </c>
      <c r="O42" s="20">
        <v>41529</v>
      </c>
    </row>
    <row r="43" spans="1:15">
      <c r="A43" s="17">
        <v>2013</v>
      </c>
      <c r="B43" s="18" t="s">
        <v>481</v>
      </c>
      <c r="C43" s="18" t="s">
        <v>482</v>
      </c>
      <c r="D43" s="19">
        <v>3206092</v>
      </c>
      <c r="E43" s="19">
        <v>2</v>
      </c>
      <c r="F43" s="19"/>
      <c r="G43" s="19">
        <v>650</v>
      </c>
      <c r="H43" s="19">
        <v>11.6</v>
      </c>
      <c r="I43" s="19"/>
      <c r="J43" s="19" t="s">
        <v>123</v>
      </c>
      <c r="K43" s="19" t="b">
        <v>1</v>
      </c>
      <c r="L43" s="15">
        <v>2013</v>
      </c>
      <c r="M43" s="16">
        <v>65000</v>
      </c>
      <c r="N43" s="20">
        <v>41529</v>
      </c>
      <c r="O43" s="20">
        <v>41529</v>
      </c>
    </row>
    <row r="44" spans="1:15">
      <c r="A44" s="17">
        <v>2013</v>
      </c>
      <c r="B44" s="18" t="s">
        <v>481</v>
      </c>
      <c r="C44" s="18" t="s">
        <v>482</v>
      </c>
      <c r="D44" s="19">
        <v>3206092</v>
      </c>
      <c r="E44" s="19">
        <v>2</v>
      </c>
      <c r="F44" s="19"/>
      <c r="G44" s="19">
        <v>200</v>
      </c>
      <c r="H44" s="19">
        <v>3</v>
      </c>
      <c r="I44" s="19" t="s">
        <v>492</v>
      </c>
      <c r="J44" s="19" t="s">
        <v>23</v>
      </c>
      <c r="K44" s="19" t="b">
        <v>0</v>
      </c>
      <c r="L44" s="15">
        <v>2019</v>
      </c>
      <c r="M44" s="16">
        <v>1200000</v>
      </c>
      <c r="N44" s="20">
        <v>41529</v>
      </c>
      <c r="O44" s="20">
        <v>41529</v>
      </c>
    </row>
    <row r="45" spans="1:15">
      <c r="A45" s="17">
        <v>2013</v>
      </c>
      <c r="B45" s="18" t="s">
        <v>481</v>
      </c>
      <c r="C45" s="18" t="s">
        <v>482</v>
      </c>
      <c r="D45" s="19">
        <v>3206092</v>
      </c>
      <c r="E45" s="19">
        <v>2</v>
      </c>
      <c r="F45" s="19"/>
      <c r="G45" s="19">
        <v>460</v>
      </c>
      <c r="H45" s="19">
        <v>9.1999999999999993</v>
      </c>
      <c r="I45" s="19" t="s">
        <v>487</v>
      </c>
      <c r="J45" s="19" t="s">
        <v>99</v>
      </c>
      <c r="K45" s="19" t="b">
        <v>0</v>
      </c>
      <c r="L45" s="15">
        <v>2021</v>
      </c>
      <c r="M45" s="16">
        <v>7.9299999999999995E-2</v>
      </c>
      <c r="N45" s="20">
        <v>41529</v>
      </c>
      <c r="O45" s="20">
        <v>41529</v>
      </c>
    </row>
    <row r="46" spans="1:15">
      <c r="A46" s="17">
        <v>2013</v>
      </c>
      <c r="B46" s="18" t="s">
        <v>481</v>
      </c>
      <c r="C46" s="18" t="s">
        <v>482</v>
      </c>
      <c r="D46" s="19">
        <v>3206092</v>
      </c>
      <c r="E46" s="19">
        <v>2</v>
      </c>
      <c r="F46" s="19"/>
      <c r="G46" s="19">
        <v>70</v>
      </c>
      <c r="H46" s="19" t="s">
        <v>52</v>
      </c>
      <c r="I46" s="19"/>
      <c r="J46" s="19" t="s">
        <v>53</v>
      </c>
      <c r="K46" s="19" t="b">
        <v>1</v>
      </c>
      <c r="L46" s="15">
        <v>2015</v>
      </c>
      <c r="M46" s="16">
        <v>6374000</v>
      </c>
      <c r="N46" s="20">
        <v>41529</v>
      </c>
      <c r="O46" s="20">
        <v>41529</v>
      </c>
    </row>
    <row r="47" spans="1:15">
      <c r="A47" s="17">
        <v>2013</v>
      </c>
      <c r="B47" s="18" t="s">
        <v>481</v>
      </c>
      <c r="C47" s="18" t="s">
        <v>482</v>
      </c>
      <c r="D47" s="19">
        <v>3206092</v>
      </c>
      <c r="E47" s="19">
        <v>2</v>
      </c>
      <c r="F47" s="19"/>
      <c r="G47" s="19">
        <v>90</v>
      </c>
      <c r="H47" s="19">
        <v>1.2</v>
      </c>
      <c r="I47" s="19"/>
      <c r="J47" s="19" t="s">
        <v>56</v>
      </c>
      <c r="K47" s="19" t="b">
        <v>1</v>
      </c>
      <c r="L47" s="15">
        <v>2014</v>
      </c>
      <c r="M47" s="16">
        <v>3450344</v>
      </c>
      <c r="N47" s="20">
        <v>41529</v>
      </c>
      <c r="O47" s="20">
        <v>41529</v>
      </c>
    </row>
    <row r="48" spans="1:15">
      <c r="A48" s="17">
        <v>2013</v>
      </c>
      <c r="B48" s="18" t="s">
        <v>481</v>
      </c>
      <c r="C48" s="18" t="s">
        <v>482</v>
      </c>
      <c r="D48" s="19">
        <v>3206092</v>
      </c>
      <c r="E48" s="19">
        <v>2</v>
      </c>
      <c r="F48" s="19"/>
      <c r="G48" s="19">
        <v>480</v>
      </c>
      <c r="H48" s="19">
        <v>9.4</v>
      </c>
      <c r="I48" s="19" t="s">
        <v>487</v>
      </c>
      <c r="J48" s="19" t="s">
        <v>100</v>
      </c>
      <c r="K48" s="19" t="b">
        <v>0</v>
      </c>
      <c r="L48" s="15">
        <v>2025</v>
      </c>
      <c r="M48" s="16">
        <v>3.56E-2</v>
      </c>
      <c r="N48" s="20">
        <v>41529</v>
      </c>
      <c r="O48" s="20">
        <v>41529</v>
      </c>
    </row>
    <row r="49" spans="1:15">
      <c r="A49" s="17">
        <v>2013</v>
      </c>
      <c r="B49" s="18" t="s">
        <v>481</v>
      </c>
      <c r="C49" s="18" t="s">
        <v>482</v>
      </c>
      <c r="D49" s="19">
        <v>3206092</v>
      </c>
      <c r="E49" s="19">
        <v>2</v>
      </c>
      <c r="F49" s="19"/>
      <c r="G49" s="19">
        <v>20</v>
      </c>
      <c r="H49" s="19">
        <v>1.1000000000000001</v>
      </c>
      <c r="I49" s="19"/>
      <c r="J49" s="19" t="s">
        <v>43</v>
      </c>
      <c r="K49" s="19" t="b">
        <v>1</v>
      </c>
      <c r="L49" s="15">
        <v>2015</v>
      </c>
      <c r="M49" s="16">
        <v>17300000</v>
      </c>
      <c r="N49" s="20">
        <v>41529</v>
      </c>
      <c r="O49" s="20">
        <v>41529</v>
      </c>
    </row>
    <row r="50" spans="1:15">
      <c r="A50" s="17">
        <v>2013</v>
      </c>
      <c r="B50" s="18" t="s">
        <v>481</v>
      </c>
      <c r="C50" s="18" t="s">
        <v>482</v>
      </c>
      <c r="D50" s="19">
        <v>3206092</v>
      </c>
      <c r="E50" s="19">
        <v>2</v>
      </c>
      <c r="F50" s="19"/>
      <c r="G50" s="19">
        <v>550</v>
      </c>
      <c r="H50" s="19">
        <v>10</v>
      </c>
      <c r="I50" s="19"/>
      <c r="J50" s="19" t="s">
        <v>111</v>
      </c>
      <c r="K50" s="19" t="b">
        <v>0</v>
      </c>
      <c r="L50" s="15">
        <v>2018</v>
      </c>
      <c r="M50" s="16">
        <v>600000</v>
      </c>
      <c r="N50" s="20">
        <v>41529</v>
      </c>
      <c r="O50" s="20">
        <v>41529</v>
      </c>
    </row>
    <row r="51" spans="1:15">
      <c r="A51" s="17">
        <v>2013</v>
      </c>
      <c r="B51" s="18" t="s">
        <v>481</v>
      </c>
      <c r="C51" s="18" t="s">
        <v>482</v>
      </c>
      <c r="D51" s="19">
        <v>3206092</v>
      </c>
      <c r="E51" s="19">
        <v>2</v>
      </c>
      <c r="F51" s="19"/>
      <c r="G51" s="19">
        <v>430</v>
      </c>
      <c r="H51" s="19">
        <v>8.1999999999999993</v>
      </c>
      <c r="I51" s="19" t="s">
        <v>483</v>
      </c>
      <c r="J51" s="19" t="s">
        <v>97</v>
      </c>
      <c r="K51" s="19" t="b">
        <v>0</v>
      </c>
      <c r="L51" s="15">
        <v>2021</v>
      </c>
      <c r="M51" s="16">
        <v>2096481</v>
      </c>
      <c r="N51" s="20">
        <v>41529</v>
      </c>
      <c r="O51" s="20">
        <v>41529</v>
      </c>
    </row>
    <row r="52" spans="1:15">
      <c r="A52" s="17">
        <v>2013</v>
      </c>
      <c r="B52" s="18" t="s">
        <v>481</v>
      </c>
      <c r="C52" s="18" t="s">
        <v>482</v>
      </c>
      <c r="D52" s="19">
        <v>3206092</v>
      </c>
      <c r="E52" s="19">
        <v>2</v>
      </c>
      <c r="F52" s="19"/>
      <c r="G52" s="19">
        <v>530</v>
      </c>
      <c r="H52" s="19">
        <v>9.8000000000000007</v>
      </c>
      <c r="I52" s="19" t="s">
        <v>486</v>
      </c>
      <c r="J52" s="19" t="s">
        <v>108</v>
      </c>
      <c r="K52" s="19" t="b">
        <v>0</v>
      </c>
      <c r="L52" s="15">
        <v>2022</v>
      </c>
      <c r="M52" s="16">
        <v>191</v>
      </c>
      <c r="N52" s="20">
        <v>41529</v>
      </c>
      <c r="O52" s="20">
        <v>41529</v>
      </c>
    </row>
    <row r="53" spans="1:15">
      <c r="A53" s="17">
        <v>2013</v>
      </c>
      <c r="B53" s="18" t="s">
        <v>481</v>
      </c>
      <c r="C53" s="18" t="s">
        <v>482</v>
      </c>
      <c r="D53" s="19">
        <v>3206092</v>
      </c>
      <c r="E53" s="19">
        <v>2</v>
      </c>
      <c r="F53" s="19"/>
      <c r="G53" s="19">
        <v>430</v>
      </c>
      <c r="H53" s="19">
        <v>8.1999999999999993</v>
      </c>
      <c r="I53" s="19" t="s">
        <v>483</v>
      </c>
      <c r="J53" s="19" t="s">
        <v>97</v>
      </c>
      <c r="K53" s="19" t="b">
        <v>0</v>
      </c>
      <c r="L53" s="15">
        <v>2014</v>
      </c>
      <c r="M53" s="16">
        <v>527017</v>
      </c>
      <c r="N53" s="20">
        <v>41529</v>
      </c>
      <c r="O53" s="20">
        <v>41529</v>
      </c>
    </row>
    <row r="54" spans="1:15">
      <c r="A54" s="17">
        <v>2013</v>
      </c>
      <c r="B54" s="18" t="s">
        <v>481</v>
      </c>
      <c r="C54" s="18" t="s">
        <v>482</v>
      </c>
      <c r="D54" s="19">
        <v>3206092</v>
      </c>
      <c r="E54" s="19">
        <v>2</v>
      </c>
      <c r="F54" s="19"/>
      <c r="G54" s="19">
        <v>190</v>
      </c>
      <c r="H54" s="19">
        <v>2.2000000000000002</v>
      </c>
      <c r="I54" s="19"/>
      <c r="J54" s="19" t="s">
        <v>72</v>
      </c>
      <c r="K54" s="19" t="b">
        <v>0</v>
      </c>
      <c r="L54" s="15">
        <v>2014</v>
      </c>
      <c r="M54" s="16">
        <v>2920361</v>
      </c>
      <c r="N54" s="20">
        <v>41529</v>
      </c>
      <c r="O54" s="20">
        <v>41529</v>
      </c>
    </row>
    <row r="55" spans="1:15">
      <c r="A55" s="17">
        <v>2013</v>
      </c>
      <c r="B55" s="18" t="s">
        <v>481</v>
      </c>
      <c r="C55" s="18" t="s">
        <v>482</v>
      </c>
      <c r="D55" s="19">
        <v>3206092</v>
      </c>
      <c r="E55" s="19">
        <v>2</v>
      </c>
      <c r="F55" s="19"/>
      <c r="G55" s="19">
        <v>420</v>
      </c>
      <c r="H55" s="19">
        <v>8.1</v>
      </c>
      <c r="I55" s="19" t="s">
        <v>494</v>
      </c>
      <c r="J55" s="19" t="s">
        <v>96</v>
      </c>
      <c r="K55" s="19" t="b">
        <v>0</v>
      </c>
      <c r="L55" s="15">
        <v>2019</v>
      </c>
      <c r="M55" s="16">
        <v>1406904</v>
      </c>
      <c r="N55" s="20">
        <v>41529</v>
      </c>
      <c r="O55" s="20">
        <v>41529</v>
      </c>
    </row>
    <row r="56" spans="1:15">
      <c r="A56" s="17">
        <v>2013</v>
      </c>
      <c r="B56" s="18" t="s">
        <v>481</v>
      </c>
      <c r="C56" s="18" t="s">
        <v>482</v>
      </c>
      <c r="D56" s="19">
        <v>3206092</v>
      </c>
      <c r="E56" s="19">
        <v>2</v>
      </c>
      <c r="F56" s="19"/>
      <c r="G56" s="19">
        <v>450</v>
      </c>
      <c r="H56" s="19">
        <v>9.1</v>
      </c>
      <c r="I56" s="19" t="s">
        <v>489</v>
      </c>
      <c r="J56" s="19" t="s">
        <v>98</v>
      </c>
      <c r="K56" s="19" t="b">
        <v>1</v>
      </c>
      <c r="L56" s="15">
        <v>2022</v>
      </c>
      <c r="M56" s="16">
        <v>7.9899999999999999E-2</v>
      </c>
      <c r="N56" s="20">
        <v>41529</v>
      </c>
      <c r="O56" s="20">
        <v>41529</v>
      </c>
    </row>
    <row r="57" spans="1:15">
      <c r="A57" s="17">
        <v>2013</v>
      </c>
      <c r="B57" s="18" t="s">
        <v>481</v>
      </c>
      <c r="C57" s="18" t="s">
        <v>482</v>
      </c>
      <c r="D57" s="19">
        <v>3206092</v>
      </c>
      <c r="E57" s="19">
        <v>2</v>
      </c>
      <c r="F57" s="19"/>
      <c r="G57" s="19">
        <v>130</v>
      </c>
      <c r="H57" s="19">
        <v>2.1</v>
      </c>
      <c r="I57" s="19"/>
      <c r="J57" s="19" t="s">
        <v>61</v>
      </c>
      <c r="K57" s="19" t="b">
        <v>1</v>
      </c>
      <c r="L57" s="15">
        <v>2013</v>
      </c>
      <c r="M57" s="16">
        <v>16881117.5</v>
      </c>
      <c r="N57" s="20">
        <v>41529</v>
      </c>
      <c r="O57" s="20">
        <v>41529</v>
      </c>
    </row>
    <row r="58" spans="1:15">
      <c r="A58" s="17">
        <v>2013</v>
      </c>
      <c r="B58" s="18" t="s">
        <v>481</v>
      </c>
      <c r="C58" s="18" t="s">
        <v>482</v>
      </c>
      <c r="D58" s="19">
        <v>3206092</v>
      </c>
      <c r="E58" s="19">
        <v>2</v>
      </c>
      <c r="F58" s="19"/>
      <c r="G58" s="19">
        <v>200</v>
      </c>
      <c r="H58" s="19">
        <v>3</v>
      </c>
      <c r="I58" s="19" t="s">
        <v>492</v>
      </c>
      <c r="J58" s="19" t="s">
        <v>23</v>
      </c>
      <c r="K58" s="19" t="b">
        <v>0</v>
      </c>
      <c r="L58" s="15">
        <v>2014</v>
      </c>
      <c r="M58" s="16">
        <v>1057000</v>
      </c>
      <c r="N58" s="20">
        <v>41529</v>
      </c>
      <c r="O58" s="20">
        <v>41529</v>
      </c>
    </row>
    <row r="59" spans="1:15">
      <c r="A59" s="17">
        <v>2013</v>
      </c>
      <c r="B59" s="18" t="s">
        <v>481</v>
      </c>
      <c r="C59" s="18" t="s">
        <v>482</v>
      </c>
      <c r="D59" s="19">
        <v>3206092</v>
      </c>
      <c r="E59" s="19">
        <v>2</v>
      </c>
      <c r="F59" s="19"/>
      <c r="G59" s="19">
        <v>380</v>
      </c>
      <c r="H59" s="19">
        <v>6.2</v>
      </c>
      <c r="I59" s="19" t="s">
        <v>495</v>
      </c>
      <c r="J59" s="19" t="s">
        <v>93</v>
      </c>
      <c r="K59" s="19" t="b">
        <v>0</v>
      </c>
      <c r="L59" s="15">
        <v>2019</v>
      </c>
      <c r="M59" s="16">
        <v>0.40660000000000002</v>
      </c>
      <c r="N59" s="20">
        <v>41529</v>
      </c>
      <c r="O59" s="20">
        <v>41529</v>
      </c>
    </row>
    <row r="60" spans="1:15">
      <c r="A60" s="17">
        <v>2013</v>
      </c>
      <c r="B60" s="18" t="s">
        <v>481</v>
      </c>
      <c r="C60" s="18" t="s">
        <v>482</v>
      </c>
      <c r="D60" s="19">
        <v>3206092</v>
      </c>
      <c r="E60" s="19">
        <v>2</v>
      </c>
      <c r="F60" s="19"/>
      <c r="G60" s="19">
        <v>90</v>
      </c>
      <c r="H60" s="19">
        <v>1.2</v>
      </c>
      <c r="I60" s="19"/>
      <c r="J60" s="19" t="s">
        <v>56</v>
      </c>
      <c r="K60" s="19" t="b">
        <v>1</v>
      </c>
      <c r="L60" s="15">
        <v>2016</v>
      </c>
      <c r="M60" s="16">
        <v>300000</v>
      </c>
      <c r="N60" s="20">
        <v>41529</v>
      </c>
      <c r="O60" s="20">
        <v>41529</v>
      </c>
    </row>
    <row r="61" spans="1:15">
      <c r="A61" s="17">
        <v>2013</v>
      </c>
      <c r="B61" s="18" t="s">
        <v>481</v>
      </c>
      <c r="C61" s="18" t="s">
        <v>482</v>
      </c>
      <c r="D61" s="19">
        <v>3206092</v>
      </c>
      <c r="E61" s="19">
        <v>2</v>
      </c>
      <c r="F61" s="19"/>
      <c r="G61" s="19">
        <v>130</v>
      </c>
      <c r="H61" s="19">
        <v>2.1</v>
      </c>
      <c r="I61" s="19"/>
      <c r="J61" s="19" t="s">
        <v>61</v>
      </c>
      <c r="K61" s="19" t="b">
        <v>1</v>
      </c>
      <c r="L61" s="15">
        <v>2020</v>
      </c>
      <c r="M61" s="16">
        <v>17260149</v>
      </c>
      <c r="N61" s="20">
        <v>41529</v>
      </c>
      <c r="O61" s="20">
        <v>41529</v>
      </c>
    </row>
    <row r="62" spans="1:15">
      <c r="A62" s="17">
        <v>2013</v>
      </c>
      <c r="B62" s="18" t="s">
        <v>481</v>
      </c>
      <c r="C62" s="18" t="s">
        <v>482</v>
      </c>
      <c r="D62" s="19">
        <v>3206092</v>
      </c>
      <c r="E62" s="19">
        <v>2</v>
      </c>
      <c r="F62" s="19"/>
      <c r="G62" s="19">
        <v>70</v>
      </c>
      <c r="H62" s="19" t="s">
        <v>52</v>
      </c>
      <c r="I62" s="19"/>
      <c r="J62" s="19" t="s">
        <v>53</v>
      </c>
      <c r="K62" s="19" t="b">
        <v>1</v>
      </c>
      <c r="L62" s="15">
        <v>2020</v>
      </c>
      <c r="M62" s="16">
        <v>7022000</v>
      </c>
      <c r="N62" s="20">
        <v>41529</v>
      </c>
      <c r="O62" s="20">
        <v>41529</v>
      </c>
    </row>
    <row r="63" spans="1:15">
      <c r="A63" s="17">
        <v>2013</v>
      </c>
      <c r="B63" s="18" t="s">
        <v>481</v>
      </c>
      <c r="C63" s="18" t="s">
        <v>482</v>
      </c>
      <c r="D63" s="19">
        <v>3206092</v>
      </c>
      <c r="E63" s="19">
        <v>2</v>
      </c>
      <c r="F63" s="19"/>
      <c r="G63" s="19">
        <v>80</v>
      </c>
      <c r="H63" s="19" t="s">
        <v>54</v>
      </c>
      <c r="I63" s="19"/>
      <c r="J63" s="19" t="s">
        <v>55</v>
      </c>
      <c r="K63" s="19" t="b">
        <v>1</v>
      </c>
      <c r="L63" s="15">
        <v>2015</v>
      </c>
      <c r="M63" s="16">
        <v>4100000</v>
      </c>
      <c r="N63" s="20">
        <v>41529</v>
      </c>
      <c r="O63" s="20">
        <v>41529</v>
      </c>
    </row>
    <row r="64" spans="1:15">
      <c r="A64" s="17">
        <v>2013</v>
      </c>
      <c r="B64" s="18" t="s">
        <v>481</v>
      </c>
      <c r="C64" s="18" t="s">
        <v>482</v>
      </c>
      <c r="D64" s="19">
        <v>3206092</v>
      </c>
      <c r="E64" s="19">
        <v>2</v>
      </c>
      <c r="F64" s="19"/>
      <c r="G64" s="19">
        <v>200</v>
      </c>
      <c r="H64" s="19">
        <v>3</v>
      </c>
      <c r="I64" s="19" t="s">
        <v>492</v>
      </c>
      <c r="J64" s="19" t="s">
        <v>23</v>
      </c>
      <c r="K64" s="19" t="b">
        <v>0</v>
      </c>
      <c r="L64" s="15">
        <v>2024</v>
      </c>
      <c r="M64" s="16">
        <v>1548000</v>
      </c>
      <c r="N64" s="20">
        <v>41529</v>
      </c>
      <c r="O64" s="20">
        <v>41529</v>
      </c>
    </row>
    <row r="65" spans="1:15">
      <c r="A65" s="17">
        <v>2013</v>
      </c>
      <c r="B65" s="18" t="s">
        <v>481</v>
      </c>
      <c r="C65" s="18" t="s">
        <v>482</v>
      </c>
      <c r="D65" s="19">
        <v>3206092</v>
      </c>
      <c r="E65" s="19">
        <v>2</v>
      </c>
      <c r="F65" s="19"/>
      <c r="G65" s="19">
        <v>590</v>
      </c>
      <c r="H65" s="19">
        <v>11.2</v>
      </c>
      <c r="I65" s="19"/>
      <c r="J65" s="19" t="s">
        <v>115</v>
      </c>
      <c r="K65" s="19" t="b">
        <v>1</v>
      </c>
      <c r="L65" s="15">
        <v>2018</v>
      </c>
      <c r="M65" s="16">
        <v>3500000</v>
      </c>
      <c r="N65" s="20">
        <v>41529</v>
      </c>
      <c r="O65" s="20">
        <v>41529</v>
      </c>
    </row>
    <row r="66" spans="1:15">
      <c r="A66" s="17">
        <v>2013</v>
      </c>
      <c r="B66" s="18" t="s">
        <v>481</v>
      </c>
      <c r="C66" s="18" t="s">
        <v>482</v>
      </c>
      <c r="D66" s="19">
        <v>3206092</v>
      </c>
      <c r="E66" s="19">
        <v>2</v>
      </c>
      <c r="F66" s="19"/>
      <c r="G66" s="19">
        <v>505</v>
      </c>
      <c r="H66" s="19" t="s">
        <v>103</v>
      </c>
      <c r="I66" s="19" t="s">
        <v>485</v>
      </c>
      <c r="J66" s="19" t="s">
        <v>104</v>
      </c>
      <c r="K66" s="19" t="b">
        <v>0</v>
      </c>
      <c r="L66" s="15">
        <v>2022</v>
      </c>
      <c r="M66" s="16">
        <v>0.1275</v>
      </c>
      <c r="N66" s="20">
        <v>41529</v>
      </c>
      <c r="O66" s="20">
        <v>41529</v>
      </c>
    </row>
    <row r="67" spans="1:15">
      <c r="A67" s="17">
        <v>2013</v>
      </c>
      <c r="B67" s="18" t="s">
        <v>481</v>
      </c>
      <c r="C67" s="18" t="s">
        <v>482</v>
      </c>
      <c r="D67" s="19">
        <v>3206092</v>
      </c>
      <c r="E67" s="19">
        <v>2</v>
      </c>
      <c r="F67" s="19"/>
      <c r="G67" s="19">
        <v>180</v>
      </c>
      <c r="H67" s="19" t="s">
        <v>70</v>
      </c>
      <c r="I67" s="19"/>
      <c r="J67" s="19" t="s">
        <v>71</v>
      </c>
      <c r="K67" s="19" t="b">
        <v>0</v>
      </c>
      <c r="L67" s="15">
        <v>2017</v>
      </c>
      <c r="M67" s="16">
        <v>557000</v>
      </c>
      <c r="N67" s="20">
        <v>41529</v>
      </c>
      <c r="O67" s="20">
        <v>41529</v>
      </c>
    </row>
    <row r="68" spans="1:15">
      <c r="A68" s="17">
        <v>2013</v>
      </c>
      <c r="B68" s="18" t="s">
        <v>481</v>
      </c>
      <c r="C68" s="18" t="s">
        <v>482</v>
      </c>
      <c r="D68" s="19">
        <v>3206092</v>
      </c>
      <c r="E68" s="19">
        <v>2</v>
      </c>
      <c r="F68" s="19"/>
      <c r="G68" s="19">
        <v>120</v>
      </c>
      <c r="H68" s="19">
        <v>2</v>
      </c>
      <c r="I68" s="19" t="s">
        <v>496</v>
      </c>
      <c r="J68" s="19" t="s">
        <v>21</v>
      </c>
      <c r="K68" s="19" t="b">
        <v>0</v>
      </c>
      <c r="L68" s="15">
        <v>2015</v>
      </c>
      <c r="M68" s="16">
        <v>17500000</v>
      </c>
      <c r="N68" s="20">
        <v>41529</v>
      </c>
      <c r="O68" s="20">
        <v>41529</v>
      </c>
    </row>
    <row r="69" spans="1:15">
      <c r="A69" s="17">
        <v>2013</v>
      </c>
      <c r="B69" s="18" t="s">
        <v>481</v>
      </c>
      <c r="C69" s="18" t="s">
        <v>482</v>
      </c>
      <c r="D69" s="19">
        <v>3206092</v>
      </c>
      <c r="E69" s="19">
        <v>2</v>
      </c>
      <c r="F69" s="19"/>
      <c r="G69" s="19">
        <v>520</v>
      </c>
      <c r="H69" s="19" t="s">
        <v>106</v>
      </c>
      <c r="I69" s="19"/>
      <c r="J69" s="19" t="s">
        <v>493</v>
      </c>
      <c r="K69" s="19" t="b">
        <v>1</v>
      </c>
      <c r="L69" s="15">
        <v>2014</v>
      </c>
      <c r="M69" s="16">
        <v>3.6700000000000003E-2</v>
      </c>
      <c r="N69" s="20">
        <v>41529</v>
      </c>
      <c r="O69" s="20">
        <v>41529</v>
      </c>
    </row>
    <row r="70" spans="1:15">
      <c r="A70" s="17">
        <v>2013</v>
      </c>
      <c r="B70" s="18" t="s">
        <v>481</v>
      </c>
      <c r="C70" s="18" t="s">
        <v>482</v>
      </c>
      <c r="D70" s="19">
        <v>3206092</v>
      </c>
      <c r="E70" s="19">
        <v>2</v>
      </c>
      <c r="F70" s="19"/>
      <c r="G70" s="19">
        <v>200</v>
      </c>
      <c r="H70" s="19">
        <v>3</v>
      </c>
      <c r="I70" s="19" t="s">
        <v>492</v>
      </c>
      <c r="J70" s="19" t="s">
        <v>23</v>
      </c>
      <c r="K70" s="19" t="b">
        <v>0</v>
      </c>
      <c r="L70" s="15">
        <v>2013</v>
      </c>
      <c r="M70" s="16">
        <v>-1247000</v>
      </c>
      <c r="N70" s="20">
        <v>41529</v>
      </c>
      <c r="O70" s="20">
        <v>41529</v>
      </c>
    </row>
    <row r="71" spans="1:15">
      <c r="A71" s="17">
        <v>2013</v>
      </c>
      <c r="B71" s="18" t="s">
        <v>481</v>
      </c>
      <c r="C71" s="18" t="s">
        <v>482</v>
      </c>
      <c r="D71" s="19">
        <v>3206092</v>
      </c>
      <c r="E71" s="19">
        <v>2</v>
      </c>
      <c r="F71" s="19"/>
      <c r="G71" s="19">
        <v>510</v>
      </c>
      <c r="H71" s="19">
        <v>9.6999999999999993</v>
      </c>
      <c r="I71" s="19"/>
      <c r="J71" s="19" t="s">
        <v>484</v>
      </c>
      <c r="K71" s="19" t="b">
        <v>1</v>
      </c>
      <c r="L71" s="15">
        <v>2016</v>
      </c>
      <c r="M71" s="16">
        <v>5.9799999999999999E-2</v>
      </c>
      <c r="N71" s="20">
        <v>41529</v>
      </c>
      <c r="O71" s="20">
        <v>41529</v>
      </c>
    </row>
    <row r="72" spans="1:15">
      <c r="A72" s="17">
        <v>2013</v>
      </c>
      <c r="B72" s="18" t="s">
        <v>481</v>
      </c>
      <c r="C72" s="18" t="s">
        <v>482</v>
      </c>
      <c r="D72" s="19">
        <v>3206092</v>
      </c>
      <c r="E72" s="19">
        <v>2</v>
      </c>
      <c r="F72" s="19"/>
      <c r="G72" s="19">
        <v>590</v>
      </c>
      <c r="H72" s="19">
        <v>11.2</v>
      </c>
      <c r="I72" s="19"/>
      <c r="J72" s="19" t="s">
        <v>115</v>
      </c>
      <c r="K72" s="19" t="b">
        <v>1</v>
      </c>
      <c r="L72" s="15">
        <v>2020</v>
      </c>
      <c r="M72" s="16">
        <v>3700000</v>
      </c>
      <c r="N72" s="20">
        <v>41529</v>
      </c>
      <c r="O72" s="20">
        <v>41529</v>
      </c>
    </row>
    <row r="73" spans="1:15">
      <c r="A73" s="17">
        <v>2013</v>
      </c>
      <c r="B73" s="18" t="s">
        <v>481</v>
      </c>
      <c r="C73" s="18" t="s">
        <v>482</v>
      </c>
      <c r="D73" s="19">
        <v>3206092</v>
      </c>
      <c r="E73" s="19">
        <v>2</v>
      </c>
      <c r="F73" s="19"/>
      <c r="G73" s="19">
        <v>890</v>
      </c>
      <c r="H73" s="19">
        <v>14.2</v>
      </c>
      <c r="I73" s="19"/>
      <c r="J73" s="19" t="s">
        <v>155</v>
      </c>
      <c r="K73" s="19" t="b">
        <v>1</v>
      </c>
      <c r="L73" s="15">
        <v>2013</v>
      </c>
      <c r="M73" s="16">
        <v>19700</v>
      </c>
      <c r="N73" s="20">
        <v>41529</v>
      </c>
      <c r="O73" s="20">
        <v>41529</v>
      </c>
    </row>
    <row r="74" spans="1:15">
      <c r="A74" s="17">
        <v>2013</v>
      </c>
      <c r="B74" s="18" t="s">
        <v>481</v>
      </c>
      <c r="C74" s="18" t="s">
        <v>482</v>
      </c>
      <c r="D74" s="19">
        <v>3206092</v>
      </c>
      <c r="E74" s="19">
        <v>2</v>
      </c>
      <c r="F74" s="19"/>
      <c r="G74" s="19">
        <v>505</v>
      </c>
      <c r="H74" s="19" t="s">
        <v>103</v>
      </c>
      <c r="I74" s="19" t="s">
        <v>485</v>
      </c>
      <c r="J74" s="19" t="s">
        <v>104</v>
      </c>
      <c r="K74" s="19" t="b">
        <v>0</v>
      </c>
      <c r="L74" s="15">
        <v>2021</v>
      </c>
      <c r="M74" s="16">
        <v>0.12379999999999999</v>
      </c>
      <c r="N74" s="20">
        <v>41529</v>
      </c>
      <c r="O74" s="20">
        <v>41529</v>
      </c>
    </row>
    <row r="75" spans="1:15">
      <c r="A75" s="17">
        <v>2013</v>
      </c>
      <c r="B75" s="18" t="s">
        <v>481</v>
      </c>
      <c r="C75" s="18" t="s">
        <v>482</v>
      </c>
      <c r="D75" s="19">
        <v>3206092</v>
      </c>
      <c r="E75" s="19">
        <v>2</v>
      </c>
      <c r="F75" s="19"/>
      <c r="G75" s="19">
        <v>350</v>
      </c>
      <c r="H75" s="19">
        <v>6</v>
      </c>
      <c r="I75" s="19"/>
      <c r="J75" s="19" t="s">
        <v>27</v>
      </c>
      <c r="K75" s="19" t="b">
        <v>1</v>
      </c>
      <c r="L75" s="15">
        <v>2021</v>
      </c>
      <c r="M75" s="16">
        <v>5131000</v>
      </c>
      <c r="N75" s="20">
        <v>41529</v>
      </c>
      <c r="O75" s="20">
        <v>41529</v>
      </c>
    </row>
    <row r="76" spans="1:15">
      <c r="A76" s="17">
        <v>2013</v>
      </c>
      <c r="B76" s="18" t="s">
        <v>481</v>
      </c>
      <c r="C76" s="18" t="s">
        <v>482</v>
      </c>
      <c r="D76" s="19">
        <v>3206092</v>
      </c>
      <c r="E76" s="19">
        <v>2</v>
      </c>
      <c r="F76" s="19"/>
      <c r="G76" s="19">
        <v>90</v>
      </c>
      <c r="H76" s="19">
        <v>1.2</v>
      </c>
      <c r="I76" s="19"/>
      <c r="J76" s="19" t="s">
        <v>56</v>
      </c>
      <c r="K76" s="19" t="b">
        <v>1</v>
      </c>
      <c r="L76" s="15">
        <v>2023</v>
      </c>
      <c r="M76" s="16">
        <v>300000</v>
      </c>
      <c r="N76" s="20">
        <v>41529</v>
      </c>
      <c r="O76" s="20">
        <v>41529</v>
      </c>
    </row>
    <row r="77" spans="1:15">
      <c r="A77" s="17">
        <v>2013</v>
      </c>
      <c r="B77" s="18" t="s">
        <v>481</v>
      </c>
      <c r="C77" s="18" t="s">
        <v>482</v>
      </c>
      <c r="D77" s="19">
        <v>3206092</v>
      </c>
      <c r="E77" s="19">
        <v>2</v>
      </c>
      <c r="F77" s="19"/>
      <c r="G77" s="19">
        <v>430</v>
      </c>
      <c r="H77" s="19">
        <v>8.1999999999999993</v>
      </c>
      <c r="I77" s="19" t="s">
        <v>483</v>
      </c>
      <c r="J77" s="19" t="s">
        <v>97</v>
      </c>
      <c r="K77" s="19" t="b">
        <v>0</v>
      </c>
      <c r="L77" s="15">
        <v>2013</v>
      </c>
      <c r="M77" s="16">
        <v>1638012</v>
      </c>
      <c r="N77" s="20">
        <v>41529</v>
      </c>
      <c r="O77" s="20">
        <v>41529</v>
      </c>
    </row>
    <row r="78" spans="1:15">
      <c r="A78" s="17">
        <v>2013</v>
      </c>
      <c r="B78" s="18" t="s">
        <v>481</v>
      </c>
      <c r="C78" s="18" t="s">
        <v>482</v>
      </c>
      <c r="D78" s="19">
        <v>3206092</v>
      </c>
      <c r="E78" s="19">
        <v>2</v>
      </c>
      <c r="F78" s="19"/>
      <c r="G78" s="19">
        <v>910</v>
      </c>
      <c r="H78" s="19" t="s">
        <v>157</v>
      </c>
      <c r="I78" s="19"/>
      <c r="J78" s="19" t="s">
        <v>158</v>
      </c>
      <c r="K78" s="19" t="b">
        <v>1</v>
      </c>
      <c r="L78" s="15">
        <v>2013</v>
      </c>
      <c r="M78" s="16">
        <v>20000</v>
      </c>
      <c r="N78" s="20">
        <v>41529</v>
      </c>
      <c r="O78" s="20">
        <v>41529</v>
      </c>
    </row>
    <row r="79" spans="1:15">
      <c r="A79" s="17">
        <v>2013</v>
      </c>
      <c r="B79" s="18" t="s">
        <v>481</v>
      </c>
      <c r="C79" s="18" t="s">
        <v>482</v>
      </c>
      <c r="D79" s="19">
        <v>3206092</v>
      </c>
      <c r="E79" s="19">
        <v>2</v>
      </c>
      <c r="F79" s="19"/>
      <c r="G79" s="19">
        <v>130</v>
      </c>
      <c r="H79" s="19">
        <v>2.1</v>
      </c>
      <c r="I79" s="19"/>
      <c r="J79" s="19" t="s">
        <v>61</v>
      </c>
      <c r="K79" s="19" t="b">
        <v>1</v>
      </c>
      <c r="L79" s="15">
        <v>2021</v>
      </c>
      <c r="M79" s="16">
        <v>16966564</v>
      </c>
      <c r="N79" s="20">
        <v>41529</v>
      </c>
      <c r="O79" s="20">
        <v>41529</v>
      </c>
    </row>
    <row r="80" spans="1:15">
      <c r="A80" s="17">
        <v>2013</v>
      </c>
      <c r="B80" s="18" t="s">
        <v>481</v>
      </c>
      <c r="C80" s="18" t="s">
        <v>482</v>
      </c>
      <c r="D80" s="19">
        <v>3206092</v>
      </c>
      <c r="E80" s="19">
        <v>2</v>
      </c>
      <c r="F80" s="19"/>
      <c r="G80" s="19">
        <v>330</v>
      </c>
      <c r="H80" s="19" t="s">
        <v>87</v>
      </c>
      <c r="I80" s="19"/>
      <c r="J80" s="19" t="s">
        <v>88</v>
      </c>
      <c r="K80" s="19" t="b">
        <v>1</v>
      </c>
      <c r="L80" s="15">
        <v>2014</v>
      </c>
      <c r="M80" s="16">
        <v>1057000</v>
      </c>
      <c r="N80" s="20">
        <v>41529</v>
      </c>
      <c r="O80" s="20">
        <v>41529</v>
      </c>
    </row>
    <row r="81" spans="1:15">
      <c r="A81" s="17">
        <v>2013</v>
      </c>
      <c r="B81" s="18" t="s">
        <v>481</v>
      </c>
      <c r="C81" s="18" t="s">
        <v>482</v>
      </c>
      <c r="D81" s="19">
        <v>3206092</v>
      </c>
      <c r="E81" s="19">
        <v>2</v>
      </c>
      <c r="F81" s="19"/>
      <c r="G81" s="19">
        <v>120</v>
      </c>
      <c r="H81" s="19">
        <v>2</v>
      </c>
      <c r="I81" s="19" t="s">
        <v>496</v>
      </c>
      <c r="J81" s="19" t="s">
        <v>21</v>
      </c>
      <c r="K81" s="19" t="b">
        <v>0</v>
      </c>
      <c r="L81" s="15">
        <v>2016</v>
      </c>
      <c r="M81" s="16">
        <v>17543950</v>
      </c>
      <c r="N81" s="20">
        <v>41529</v>
      </c>
      <c r="O81" s="20">
        <v>41529</v>
      </c>
    </row>
    <row r="82" spans="1:15">
      <c r="A82" s="17">
        <v>2013</v>
      </c>
      <c r="B82" s="18" t="s">
        <v>481</v>
      </c>
      <c r="C82" s="18" t="s">
        <v>482</v>
      </c>
      <c r="D82" s="19">
        <v>3206092</v>
      </c>
      <c r="E82" s="19">
        <v>2</v>
      </c>
      <c r="F82" s="19"/>
      <c r="G82" s="19">
        <v>460</v>
      </c>
      <c r="H82" s="19">
        <v>9.1999999999999993</v>
      </c>
      <c r="I82" s="19" t="s">
        <v>487</v>
      </c>
      <c r="J82" s="19" t="s">
        <v>99</v>
      </c>
      <c r="K82" s="19" t="b">
        <v>0</v>
      </c>
      <c r="L82" s="15">
        <v>2023</v>
      </c>
      <c r="M82" s="16">
        <v>8.2500000000000004E-2</v>
      </c>
      <c r="N82" s="20">
        <v>41529</v>
      </c>
      <c r="O82" s="20">
        <v>41529</v>
      </c>
    </row>
    <row r="83" spans="1:15">
      <c r="A83" s="17">
        <v>2013</v>
      </c>
      <c r="B83" s="18" t="s">
        <v>481</v>
      </c>
      <c r="C83" s="18" t="s">
        <v>482</v>
      </c>
      <c r="D83" s="19">
        <v>3206092</v>
      </c>
      <c r="E83" s="19">
        <v>2</v>
      </c>
      <c r="F83" s="19"/>
      <c r="G83" s="19">
        <v>180</v>
      </c>
      <c r="H83" s="19" t="s">
        <v>70</v>
      </c>
      <c r="I83" s="19"/>
      <c r="J83" s="19" t="s">
        <v>71</v>
      </c>
      <c r="K83" s="19" t="b">
        <v>0</v>
      </c>
      <c r="L83" s="15">
        <v>2019</v>
      </c>
      <c r="M83" s="16">
        <v>485000</v>
      </c>
      <c r="N83" s="20">
        <v>41529</v>
      </c>
      <c r="O83" s="20">
        <v>41529</v>
      </c>
    </row>
    <row r="84" spans="1:15">
      <c r="A84" s="17">
        <v>2013</v>
      </c>
      <c r="B84" s="18" t="s">
        <v>481</v>
      </c>
      <c r="C84" s="18" t="s">
        <v>482</v>
      </c>
      <c r="D84" s="19">
        <v>3206092</v>
      </c>
      <c r="E84" s="19">
        <v>2</v>
      </c>
      <c r="F84" s="19"/>
      <c r="G84" s="19">
        <v>70</v>
      </c>
      <c r="H84" s="19" t="s">
        <v>52</v>
      </c>
      <c r="I84" s="19"/>
      <c r="J84" s="19" t="s">
        <v>53</v>
      </c>
      <c r="K84" s="19" t="b">
        <v>1</v>
      </c>
      <c r="L84" s="15">
        <v>2018</v>
      </c>
      <c r="M84" s="16">
        <v>6619000</v>
      </c>
      <c r="N84" s="20">
        <v>41529</v>
      </c>
      <c r="O84" s="20">
        <v>41529</v>
      </c>
    </row>
    <row r="85" spans="1:15">
      <c r="A85" s="17">
        <v>2013</v>
      </c>
      <c r="B85" s="18" t="s">
        <v>481</v>
      </c>
      <c r="C85" s="18" t="s">
        <v>482</v>
      </c>
      <c r="D85" s="19">
        <v>3206092</v>
      </c>
      <c r="E85" s="19">
        <v>2</v>
      </c>
      <c r="F85" s="19"/>
      <c r="G85" s="19">
        <v>590</v>
      </c>
      <c r="H85" s="19">
        <v>11.2</v>
      </c>
      <c r="I85" s="19"/>
      <c r="J85" s="19" t="s">
        <v>115</v>
      </c>
      <c r="K85" s="19" t="b">
        <v>1</v>
      </c>
      <c r="L85" s="15">
        <v>2023</v>
      </c>
      <c r="M85" s="16">
        <v>4000000</v>
      </c>
      <c r="N85" s="20">
        <v>41529</v>
      </c>
      <c r="O85" s="20">
        <v>41529</v>
      </c>
    </row>
    <row r="86" spans="1:15">
      <c r="A86" s="17">
        <v>2013</v>
      </c>
      <c r="B86" s="18" t="s">
        <v>481</v>
      </c>
      <c r="C86" s="18" t="s">
        <v>482</v>
      </c>
      <c r="D86" s="19">
        <v>3206092</v>
      </c>
      <c r="E86" s="19">
        <v>2</v>
      </c>
      <c r="F86" s="19"/>
      <c r="G86" s="19">
        <v>100</v>
      </c>
      <c r="H86" s="19" t="s">
        <v>57</v>
      </c>
      <c r="I86" s="19"/>
      <c r="J86" s="19" t="s">
        <v>58</v>
      </c>
      <c r="K86" s="19" t="b">
        <v>1</v>
      </c>
      <c r="L86" s="15">
        <v>2022</v>
      </c>
      <c r="M86" s="16">
        <v>300000</v>
      </c>
      <c r="N86" s="20">
        <v>41529</v>
      </c>
      <c r="O86" s="20">
        <v>41529</v>
      </c>
    </row>
    <row r="87" spans="1:15">
      <c r="A87" s="17">
        <v>2013</v>
      </c>
      <c r="B87" s="18" t="s">
        <v>481</v>
      </c>
      <c r="C87" s="18" t="s">
        <v>482</v>
      </c>
      <c r="D87" s="19">
        <v>3206092</v>
      </c>
      <c r="E87" s="19">
        <v>2</v>
      </c>
      <c r="F87" s="19"/>
      <c r="G87" s="19">
        <v>30</v>
      </c>
      <c r="H87" s="19" t="s">
        <v>44</v>
      </c>
      <c r="I87" s="19"/>
      <c r="J87" s="19" t="s">
        <v>45</v>
      </c>
      <c r="K87" s="19" t="b">
        <v>1</v>
      </c>
      <c r="L87" s="15">
        <v>2014</v>
      </c>
      <c r="M87" s="16">
        <v>1488000</v>
      </c>
      <c r="N87" s="20">
        <v>41529</v>
      </c>
      <c r="O87" s="20">
        <v>41529</v>
      </c>
    </row>
    <row r="88" spans="1:15">
      <c r="A88" s="17">
        <v>2013</v>
      </c>
      <c r="B88" s="18" t="s">
        <v>481</v>
      </c>
      <c r="C88" s="18" t="s">
        <v>482</v>
      </c>
      <c r="D88" s="19">
        <v>3206092</v>
      </c>
      <c r="E88" s="19">
        <v>2</v>
      </c>
      <c r="F88" s="19"/>
      <c r="G88" s="19">
        <v>70</v>
      </c>
      <c r="H88" s="19" t="s">
        <v>52</v>
      </c>
      <c r="I88" s="19"/>
      <c r="J88" s="19" t="s">
        <v>53</v>
      </c>
      <c r="K88" s="19" t="b">
        <v>1</v>
      </c>
      <c r="L88" s="15">
        <v>2019</v>
      </c>
      <c r="M88" s="16">
        <v>6818000</v>
      </c>
      <c r="N88" s="20">
        <v>41529</v>
      </c>
      <c r="O88" s="20">
        <v>41529</v>
      </c>
    </row>
    <row r="89" spans="1:15">
      <c r="A89" s="17">
        <v>2013</v>
      </c>
      <c r="B89" s="18" t="s">
        <v>481</v>
      </c>
      <c r="C89" s="18" t="s">
        <v>482</v>
      </c>
      <c r="D89" s="19">
        <v>3206092</v>
      </c>
      <c r="E89" s="19">
        <v>2</v>
      </c>
      <c r="F89" s="19"/>
      <c r="G89" s="19">
        <v>170</v>
      </c>
      <c r="H89" s="19" t="s">
        <v>68</v>
      </c>
      <c r="I89" s="19"/>
      <c r="J89" s="19" t="s">
        <v>69</v>
      </c>
      <c r="K89" s="19" t="b">
        <v>1</v>
      </c>
      <c r="L89" s="15">
        <v>2013</v>
      </c>
      <c r="M89" s="16">
        <v>769690</v>
      </c>
      <c r="N89" s="20">
        <v>41529</v>
      </c>
      <c r="O89" s="20">
        <v>41529</v>
      </c>
    </row>
    <row r="90" spans="1:15">
      <c r="A90" s="17">
        <v>2013</v>
      </c>
      <c r="B90" s="18" t="s">
        <v>481</v>
      </c>
      <c r="C90" s="18" t="s">
        <v>482</v>
      </c>
      <c r="D90" s="19">
        <v>3206092</v>
      </c>
      <c r="E90" s="19">
        <v>2</v>
      </c>
      <c r="F90" s="19"/>
      <c r="G90" s="19">
        <v>130</v>
      </c>
      <c r="H90" s="19">
        <v>2.1</v>
      </c>
      <c r="I90" s="19"/>
      <c r="J90" s="19" t="s">
        <v>61</v>
      </c>
      <c r="K90" s="19" t="b">
        <v>1</v>
      </c>
      <c r="L90" s="15">
        <v>2019</v>
      </c>
      <c r="M90" s="16">
        <v>17061844</v>
      </c>
      <c r="N90" s="20">
        <v>41529</v>
      </c>
      <c r="O90" s="20">
        <v>41529</v>
      </c>
    </row>
    <row r="91" spans="1:15">
      <c r="A91" s="17">
        <v>2013</v>
      </c>
      <c r="B91" s="18" t="s">
        <v>481</v>
      </c>
      <c r="C91" s="18" t="s">
        <v>482</v>
      </c>
      <c r="D91" s="19">
        <v>3206092</v>
      </c>
      <c r="E91" s="19">
        <v>2</v>
      </c>
      <c r="F91" s="19"/>
      <c r="G91" s="19">
        <v>710</v>
      </c>
      <c r="H91" s="19" t="s">
        <v>131</v>
      </c>
      <c r="I91" s="19"/>
      <c r="J91" s="19" t="s">
        <v>132</v>
      </c>
      <c r="K91" s="19" t="b">
        <v>0</v>
      </c>
      <c r="L91" s="15">
        <v>2014</v>
      </c>
      <c r="M91" s="16">
        <v>3150344</v>
      </c>
      <c r="N91" s="20">
        <v>41529</v>
      </c>
      <c r="O91" s="20">
        <v>41529</v>
      </c>
    </row>
    <row r="92" spans="1:15">
      <c r="A92" s="17">
        <v>2013</v>
      </c>
      <c r="B92" s="18" t="s">
        <v>481</v>
      </c>
      <c r="C92" s="18" t="s">
        <v>482</v>
      </c>
      <c r="D92" s="19">
        <v>3206092</v>
      </c>
      <c r="E92" s="19">
        <v>2</v>
      </c>
      <c r="F92" s="19"/>
      <c r="G92" s="19">
        <v>880</v>
      </c>
      <c r="H92" s="19">
        <v>14.1</v>
      </c>
      <c r="I92" s="19"/>
      <c r="J92" s="19" t="s">
        <v>154</v>
      </c>
      <c r="K92" s="19" t="b">
        <v>1</v>
      </c>
      <c r="L92" s="15">
        <v>2015</v>
      </c>
      <c r="M92" s="16">
        <v>100000</v>
      </c>
      <c r="N92" s="20">
        <v>41529</v>
      </c>
      <c r="O92" s="20">
        <v>41529</v>
      </c>
    </row>
    <row r="93" spans="1:15">
      <c r="A93" s="17">
        <v>2013</v>
      </c>
      <c r="B93" s="18" t="s">
        <v>481</v>
      </c>
      <c r="C93" s="18" t="s">
        <v>482</v>
      </c>
      <c r="D93" s="19">
        <v>3206092</v>
      </c>
      <c r="E93" s="19">
        <v>2</v>
      </c>
      <c r="F93" s="19"/>
      <c r="G93" s="19">
        <v>580</v>
      </c>
      <c r="H93" s="19">
        <v>11.1</v>
      </c>
      <c r="I93" s="19"/>
      <c r="J93" s="19" t="s">
        <v>114</v>
      </c>
      <c r="K93" s="19" t="b">
        <v>0</v>
      </c>
      <c r="L93" s="15">
        <v>2024</v>
      </c>
      <c r="M93" s="16">
        <v>9083273</v>
      </c>
      <c r="N93" s="20">
        <v>41529</v>
      </c>
      <c r="O93" s="20">
        <v>41529</v>
      </c>
    </row>
    <row r="94" spans="1:15">
      <c r="A94" s="17">
        <v>2013</v>
      </c>
      <c r="B94" s="18" t="s">
        <v>481</v>
      </c>
      <c r="C94" s="18" t="s">
        <v>482</v>
      </c>
      <c r="D94" s="19">
        <v>3206092</v>
      </c>
      <c r="E94" s="19">
        <v>2</v>
      </c>
      <c r="F94" s="19"/>
      <c r="G94" s="19">
        <v>550</v>
      </c>
      <c r="H94" s="19">
        <v>10</v>
      </c>
      <c r="I94" s="19"/>
      <c r="J94" s="19" t="s">
        <v>111</v>
      </c>
      <c r="K94" s="19" t="b">
        <v>0</v>
      </c>
      <c r="L94" s="15">
        <v>2015</v>
      </c>
      <c r="M94" s="16">
        <v>100000</v>
      </c>
      <c r="N94" s="20">
        <v>41529</v>
      </c>
      <c r="O94" s="20">
        <v>41529</v>
      </c>
    </row>
    <row r="95" spans="1:15">
      <c r="A95" s="17">
        <v>2013</v>
      </c>
      <c r="B95" s="18" t="s">
        <v>481</v>
      </c>
      <c r="C95" s="18" t="s">
        <v>482</v>
      </c>
      <c r="D95" s="19">
        <v>3206092</v>
      </c>
      <c r="E95" s="19">
        <v>2</v>
      </c>
      <c r="F95" s="19"/>
      <c r="G95" s="19">
        <v>550</v>
      </c>
      <c r="H95" s="19">
        <v>10</v>
      </c>
      <c r="I95" s="19"/>
      <c r="J95" s="19" t="s">
        <v>111</v>
      </c>
      <c r="K95" s="19" t="b">
        <v>0</v>
      </c>
      <c r="L95" s="15">
        <v>2017</v>
      </c>
      <c r="M95" s="16">
        <v>600000</v>
      </c>
      <c r="N95" s="20">
        <v>41529</v>
      </c>
      <c r="O95" s="20">
        <v>41529</v>
      </c>
    </row>
    <row r="96" spans="1:15">
      <c r="A96" s="17">
        <v>2013</v>
      </c>
      <c r="B96" s="18" t="s">
        <v>481</v>
      </c>
      <c r="C96" s="18" t="s">
        <v>482</v>
      </c>
      <c r="D96" s="19">
        <v>3206092</v>
      </c>
      <c r="E96" s="19">
        <v>2</v>
      </c>
      <c r="F96" s="19"/>
      <c r="G96" s="19">
        <v>210</v>
      </c>
      <c r="H96" s="19">
        <v>4</v>
      </c>
      <c r="I96" s="19" t="s">
        <v>497</v>
      </c>
      <c r="J96" s="19" t="s">
        <v>24</v>
      </c>
      <c r="K96" s="19" t="b">
        <v>0</v>
      </c>
      <c r="L96" s="15">
        <v>2013</v>
      </c>
      <c r="M96" s="16">
        <v>3352000</v>
      </c>
      <c r="N96" s="20">
        <v>41529</v>
      </c>
      <c r="O96" s="20">
        <v>41529</v>
      </c>
    </row>
    <row r="97" spans="1:15">
      <c r="A97" s="17">
        <v>2013</v>
      </c>
      <c r="B97" s="18" t="s">
        <v>481</v>
      </c>
      <c r="C97" s="18" t="s">
        <v>482</v>
      </c>
      <c r="D97" s="19">
        <v>3206092</v>
      </c>
      <c r="E97" s="19">
        <v>2</v>
      </c>
      <c r="F97" s="19"/>
      <c r="G97" s="19">
        <v>470</v>
      </c>
      <c r="H97" s="19">
        <v>9.3000000000000007</v>
      </c>
      <c r="I97" s="19" t="s">
        <v>489</v>
      </c>
      <c r="J97" s="19" t="s">
        <v>490</v>
      </c>
      <c r="K97" s="19" t="b">
        <v>1</v>
      </c>
      <c r="L97" s="15">
        <v>2019</v>
      </c>
      <c r="M97" s="16">
        <v>8.9800000000000005E-2</v>
      </c>
      <c r="N97" s="20">
        <v>41529</v>
      </c>
      <c r="O97" s="20">
        <v>41529</v>
      </c>
    </row>
    <row r="98" spans="1:15">
      <c r="A98" s="17">
        <v>2013</v>
      </c>
      <c r="B98" s="18" t="s">
        <v>481</v>
      </c>
      <c r="C98" s="18" t="s">
        <v>482</v>
      </c>
      <c r="D98" s="19">
        <v>3206092</v>
      </c>
      <c r="E98" s="19">
        <v>2</v>
      </c>
      <c r="F98" s="19"/>
      <c r="G98" s="19">
        <v>100</v>
      </c>
      <c r="H98" s="19" t="s">
        <v>57</v>
      </c>
      <c r="I98" s="19"/>
      <c r="J98" s="19" t="s">
        <v>58</v>
      </c>
      <c r="K98" s="19" t="b">
        <v>1</v>
      </c>
      <c r="L98" s="15">
        <v>2023</v>
      </c>
      <c r="M98" s="16">
        <v>300000</v>
      </c>
      <c r="N98" s="20">
        <v>41529</v>
      </c>
      <c r="O98" s="20">
        <v>41529</v>
      </c>
    </row>
    <row r="99" spans="1:15">
      <c r="A99" s="17">
        <v>2013</v>
      </c>
      <c r="B99" s="18" t="s">
        <v>481</v>
      </c>
      <c r="C99" s="18" t="s">
        <v>482</v>
      </c>
      <c r="D99" s="19">
        <v>3206092</v>
      </c>
      <c r="E99" s="19">
        <v>2</v>
      </c>
      <c r="F99" s="19"/>
      <c r="G99" s="19">
        <v>50</v>
      </c>
      <c r="H99" s="19" t="s">
        <v>48</v>
      </c>
      <c r="I99" s="19"/>
      <c r="J99" s="19" t="s">
        <v>49</v>
      </c>
      <c r="K99" s="19" t="b">
        <v>1</v>
      </c>
      <c r="L99" s="15">
        <v>2014</v>
      </c>
      <c r="M99" s="16">
        <v>4991000</v>
      </c>
      <c r="N99" s="20">
        <v>41529</v>
      </c>
      <c r="O99" s="20">
        <v>41529</v>
      </c>
    </row>
    <row r="100" spans="1:15">
      <c r="A100" s="17">
        <v>2013</v>
      </c>
      <c r="B100" s="18" t="s">
        <v>481</v>
      </c>
      <c r="C100" s="18" t="s">
        <v>482</v>
      </c>
      <c r="D100" s="19">
        <v>3206092</v>
      </c>
      <c r="E100" s="19">
        <v>2</v>
      </c>
      <c r="F100" s="19"/>
      <c r="G100" s="19">
        <v>560</v>
      </c>
      <c r="H100" s="19">
        <v>10.1</v>
      </c>
      <c r="I100" s="19"/>
      <c r="J100" s="19" t="s">
        <v>112</v>
      </c>
      <c r="K100" s="19" t="b">
        <v>0</v>
      </c>
      <c r="L100" s="15">
        <v>2017</v>
      </c>
      <c r="M100" s="16">
        <v>600000</v>
      </c>
      <c r="N100" s="20">
        <v>41529</v>
      </c>
      <c r="O100" s="20">
        <v>41529</v>
      </c>
    </row>
    <row r="101" spans="1:15">
      <c r="A101" s="17">
        <v>2013</v>
      </c>
      <c r="B101" s="18" t="s">
        <v>481</v>
      </c>
      <c r="C101" s="18" t="s">
        <v>482</v>
      </c>
      <c r="D101" s="19">
        <v>3206092</v>
      </c>
      <c r="E101" s="19">
        <v>2</v>
      </c>
      <c r="F101" s="19"/>
      <c r="G101" s="19">
        <v>310</v>
      </c>
      <c r="H101" s="19">
        <v>5.0999999999999996</v>
      </c>
      <c r="I101" s="19"/>
      <c r="J101" s="19" t="s">
        <v>84</v>
      </c>
      <c r="K101" s="19" t="b">
        <v>1</v>
      </c>
      <c r="L101" s="15">
        <v>2017</v>
      </c>
      <c r="M101" s="16">
        <v>600000</v>
      </c>
      <c r="N101" s="20">
        <v>41529</v>
      </c>
      <c r="O101" s="20">
        <v>41529</v>
      </c>
    </row>
    <row r="102" spans="1:15">
      <c r="A102" s="17">
        <v>2013</v>
      </c>
      <c r="B102" s="18" t="s">
        <v>481</v>
      </c>
      <c r="C102" s="18" t="s">
        <v>482</v>
      </c>
      <c r="D102" s="19">
        <v>3206092</v>
      </c>
      <c r="E102" s="19">
        <v>2</v>
      </c>
      <c r="F102" s="19"/>
      <c r="G102" s="19">
        <v>240</v>
      </c>
      <c r="H102" s="19">
        <v>4.2</v>
      </c>
      <c r="I102" s="19"/>
      <c r="J102" s="19" t="s">
        <v>76</v>
      </c>
      <c r="K102" s="19" t="b">
        <v>0</v>
      </c>
      <c r="L102" s="15">
        <v>2013</v>
      </c>
      <c r="M102" s="16">
        <v>2052000</v>
      </c>
      <c r="N102" s="20">
        <v>41529</v>
      </c>
      <c r="O102" s="20">
        <v>41529</v>
      </c>
    </row>
    <row r="103" spans="1:15">
      <c r="A103" s="17">
        <v>2013</v>
      </c>
      <c r="B103" s="18" t="s">
        <v>481</v>
      </c>
      <c r="C103" s="18" t="s">
        <v>482</v>
      </c>
      <c r="D103" s="19">
        <v>3206092</v>
      </c>
      <c r="E103" s="19">
        <v>2</v>
      </c>
      <c r="F103" s="19"/>
      <c r="G103" s="19">
        <v>500</v>
      </c>
      <c r="H103" s="19">
        <v>9.6</v>
      </c>
      <c r="I103" s="19" t="s">
        <v>488</v>
      </c>
      <c r="J103" s="19" t="s">
        <v>102</v>
      </c>
      <c r="K103" s="19" t="b">
        <v>0</v>
      </c>
      <c r="L103" s="15">
        <v>2021</v>
      </c>
      <c r="M103" s="16">
        <v>7.9299999999999995E-2</v>
      </c>
      <c r="N103" s="20">
        <v>41529</v>
      </c>
      <c r="O103" s="20">
        <v>41529</v>
      </c>
    </row>
    <row r="104" spans="1:15">
      <c r="A104" s="17">
        <v>2013</v>
      </c>
      <c r="B104" s="18" t="s">
        <v>481</v>
      </c>
      <c r="C104" s="18" t="s">
        <v>482</v>
      </c>
      <c r="D104" s="19">
        <v>3206092</v>
      </c>
      <c r="E104" s="19">
        <v>2</v>
      </c>
      <c r="F104" s="19"/>
      <c r="G104" s="19">
        <v>50</v>
      </c>
      <c r="H104" s="19" t="s">
        <v>48</v>
      </c>
      <c r="I104" s="19"/>
      <c r="J104" s="19" t="s">
        <v>49</v>
      </c>
      <c r="K104" s="19" t="b">
        <v>1</v>
      </c>
      <c r="L104" s="15">
        <v>2025</v>
      </c>
      <c r="M104" s="16">
        <v>6693000</v>
      </c>
      <c r="N104" s="20">
        <v>41529</v>
      </c>
      <c r="O104" s="20">
        <v>41529</v>
      </c>
    </row>
    <row r="105" spans="1:15">
      <c r="A105" s="17">
        <v>2013</v>
      </c>
      <c r="B105" s="18" t="s">
        <v>481</v>
      </c>
      <c r="C105" s="18" t="s">
        <v>482</v>
      </c>
      <c r="D105" s="19">
        <v>3206092</v>
      </c>
      <c r="E105" s="19">
        <v>2</v>
      </c>
      <c r="F105" s="19"/>
      <c r="G105" s="19">
        <v>390</v>
      </c>
      <c r="H105" s="19">
        <v>6.3</v>
      </c>
      <c r="I105" s="19" t="s">
        <v>498</v>
      </c>
      <c r="J105" s="19" t="s">
        <v>94</v>
      </c>
      <c r="K105" s="19" t="b">
        <v>0</v>
      </c>
      <c r="L105" s="15">
        <v>2014</v>
      </c>
      <c r="M105" s="16">
        <v>0.52049999999999996</v>
      </c>
      <c r="N105" s="20">
        <v>41529</v>
      </c>
      <c r="O105" s="20">
        <v>41529</v>
      </c>
    </row>
    <row r="106" spans="1:15">
      <c r="A106" s="17">
        <v>2013</v>
      </c>
      <c r="B106" s="18" t="s">
        <v>481</v>
      </c>
      <c r="C106" s="18" t="s">
        <v>482</v>
      </c>
      <c r="D106" s="19">
        <v>3206092</v>
      </c>
      <c r="E106" s="19">
        <v>2</v>
      </c>
      <c r="F106" s="19"/>
      <c r="G106" s="19">
        <v>920</v>
      </c>
      <c r="H106" s="19" t="s">
        <v>159</v>
      </c>
      <c r="I106" s="19"/>
      <c r="J106" s="19" t="s">
        <v>160</v>
      </c>
      <c r="K106" s="19" t="b">
        <v>1</v>
      </c>
      <c r="L106" s="15">
        <v>2015</v>
      </c>
      <c r="M106" s="16">
        <v>9850</v>
      </c>
      <c r="N106" s="20">
        <v>41529</v>
      </c>
      <c r="O106" s="20">
        <v>41529</v>
      </c>
    </row>
    <row r="107" spans="1:15">
      <c r="A107" s="17">
        <v>2013</v>
      </c>
      <c r="B107" s="18" t="s">
        <v>481</v>
      </c>
      <c r="C107" s="18" t="s">
        <v>482</v>
      </c>
      <c r="D107" s="19">
        <v>3206092</v>
      </c>
      <c r="E107" s="19">
        <v>2</v>
      </c>
      <c r="F107" s="19"/>
      <c r="G107" s="19">
        <v>610</v>
      </c>
      <c r="H107" s="19" t="s">
        <v>117</v>
      </c>
      <c r="I107" s="19"/>
      <c r="J107" s="19" t="s">
        <v>118</v>
      </c>
      <c r="K107" s="19" t="b">
        <v>1</v>
      </c>
      <c r="L107" s="15">
        <v>2013</v>
      </c>
      <c r="M107" s="16">
        <v>220152</v>
      </c>
      <c r="N107" s="20">
        <v>41529</v>
      </c>
      <c r="O107" s="20">
        <v>41529</v>
      </c>
    </row>
    <row r="108" spans="1:15">
      <c r="A108" s="17">
        <v>2013</v>
      </c>
      <c r="B108" s="18" t="s">
        <v>481</v>
      </c>
      <c r="C108" s="18" t="s">
        <v>482</v>
      </c>
      <c r="D108" s="19">
        <v>3206092</v>
      </c>
      <c r="E108" s="19">
        <v>2</v>
      </c>
      <c r="F108" s="19"/>
      <c r="G108" s="19">
        <v>550</v>
      </c>
      <c r="H108" s="19">
        <v>10</v>
      </c>
      <c r="I108" s="19"/>
      <c r="J108" s="19" t="s">
        <v>111</v>
      </c>
      <c r="K108" s="19" t="b">
        <v>0</v>
      </c>
      <c r="L108" s="15">
        <v>2021</v>
      </c>
      <c r="M108" s="16">
        <v>1200000</v>
      </c>
      <c r="N108" s="20">
        <v>41529</v>
      </c>
      <c r="O108" s="20">
        <v>41529</v>
      </c>
    </row>
    <row r="109" spans="1:15">
      <c r="A109" s="17">
        <v>2013</v>
      </c>
      <c r="B109" s="18" t="s">
        <v>481</v>
      </c>
      <c r="C109" s="18" t="s">
        <v>482</v>
      </c>
      <c r="D109" s="19">
        <v>3206092</v>
      </c>
      <c r="E109" s="19">
        <v>2</v>
      </c>
      <c r="F109" s="19"/>
      <c r="G109" s="19">
        <v>170</v>
      </c>
      <c r="H109" s="19" t="s">
        <v>68</v>
      </c>
      <c r="I109" s="19"/>
      <c r="J109" s="19" t="s">
        <v>69</v>
      </c>
      <c r="K109" s="19" t="b">
        <v>1</v>
      </c>
      <c r="L109" s="15">
        <v>2025</v>
      </c>
      <c r="M109" s="16">
        <v>31950</v>
      </c>
      <c r="N109" s="20">
        <v>41529</v>
      </c>
      <c r="O109" s="20">
        <v>41529</v>
      </c>
    </row>
    <row r="110" spans="1:15">
      <c r="A110" s="17">
        <v>2013</v>
      </c>
      <c r="B110" s="18" t="s">
        <v>481</v>
      </c>
      <c r="C110" s="18" t="s">
        <v>482</v>
      </c>
      <c r="D110" s="19">
        <v>3206092</v>
      </c>
      <c r="E110" s="19">
        <v>2</v>
      </c>
      <c r="F110" s="19"/>
      <c r="G110" s="19">
        <v>380</v>
      </c>
      <c r="H110" s="19">
        <v>6.2</v>
      </c>
      <c r="I110" s="19" t="s">
        <v>495</v>
      </c>
      <c r="J110" s="19" t="s">
        <v>93</v>
      </c>
      <c r="K110" s="19" t="b">
        <v>0</v>
      </c>
      <c r="L110" s="15">
        <v>2018</v>
      </c>
      <c r="M110" s="16">
        <v>0.47620000000000001</v>
      </c>
      <c r="N110" s="20">
        <v>41529</v>
      </c>
      <c r="O110" s="20">
        <v>41529</v>
      </c>
    </row>
    <row r="111" spans="1:15">
      <c r="A111" s="17">
        <v>2013</v>
      </c>
      <c r="B111" s="18" t="s">
        <v>481</v>
      </c>
      <c r="C111" s="18" t="s">
        <v>482</v>
      </c>
      <c r="D111" s="19">
        <v>3206092</v>
      </c>
      <c r="E111" s="19">
        <v>2</v>
      </c>
      <c r="F111" s="19"/>
      <c r="G111" s="19">
        <v>350</v>
      </c>
      <c r="H111" s="19">
        <v>6</v>
      </c>
      <c r="I111" s="19"/>
      <c r="J111" s="19" t="s">
        <v>27</v>
      </c>
      <c r="K111" s="19" t="b">
        <v>1</v>
      </c>
      <c r="L111" s="15">
        <v>2016</v>
      </c>
      <c r="M111" s="16">
        <v>10031000</v>
      </c>
      <c r="N111" s="20">
        <v>41529</v>
      </c>
      <c r="O111" s="20">
        <v>41529</v>
      </c>
    </row>
    <row r="112" spans="1:15">
      <c r="A112" s="17">
        <v>2013</v>
      </c>
      <c r="B112" s="18" t="s">
        <v>481</v>
      </c>
      <c r="C112" s="18" t="s">
        <v>482</v>
      </c>
      <c r="D112" s="19">
        <v>3206092</v>
      </c>
      <c r="E112" s="19">
        <v>2</v>
      </c>
      <c r="F112" s="19"/>
      <c r="G112" s="19">
        <v>710</v>
      </c>
      <c r="H112" s="19" t="s">
        <v>131</v>
      </c>
      <c r="I112" s="19"/>
      <c r="J112" s="19" t="s">
        <v>132</v>
      </c>
      <c r="K112" s="19" t="b">
        <v>0</v>
      </c>
      <c r="L112" s="15">
        <v>2013</v>
      </c>
      <c r="M112" s="16">
        <v>972461</v>
      </c>
      <c r="N112" s="20">
        <v>41529</v>
      </c>
      <c r="O112" s="20">
        <v>41529</v>
      </c>
    </row>
    <row r="113" spans="1:15">
      <c r="A113" s="17">
        <v>2013</v>
      </c>
      <c r="B113" s="18" t="s">
        <v>481</v>
      </c>
      <c r="C113" s="18" t="s">
        <v>482</v>
      </c>
      <c r="D113" s="19">
        <v>3206092</v>
      </c>
      <c r="E113" s="19">
        <v>2</v>
      </c>
      <c r="F113" s="19"/>
      <c r="G113" s="19">
        <v>380</v>
      </c>
      <c r="H113" s="19">
        <v>6.2</v>
      </c>
      <c r="I113" s="19" t="s">
        <v>495</v>
      </c>
      <c r="J113" s="19" t="s">
        <v>93</v>
      </c>
      <c r="K113" s="19" t="b">
        <v>0</v>
      </c>
      <c r="L113" s="15">
        <v>2021</v>
      </c>
      <c r="M113" s="16">
        <v>0.26500000000000001</v>
      </c>
      <c r="N113" s="20">
        <v>41529</v>
      </c>
      <c r="O113" s="20">
        <v>41529</v>
      </c>
    </row>
    <row r="114" spans="1:15">
      <c r="A114" s="17">
        <v>2013</v>
      </c>
      <c r="B114" s="18" t="s">
        <v>481</v>
      </c>
      <c r="C114" s="18" t="s">
        <v>482</v>
      </c>
      <c r="D114" s="19">
        <v>3206092</v>
      </c>
      <c r="E114" s="19">
        <v>2</v>
      </c>
      <c r="F114" s="19"/>
      <c r="G114" s="19">
        <v>60</v>
      </c>
      <c r="H114" s="19" t="s">
        <v>50</v>
      </c>
      <c r="I114" s="19"/>
      <c r="J114" s="19" t="s">
        <v>51</v>
      </c>
      <c r="K114" s="19" t="b">
        <v>1</v>
      </c>
      <c r="L114" s="15">
        <v>2024</v>
      </c>
      <c r="M114" s="16">
        <v>3836000</v>
      </c>
      <c r="N114" s="20">
        <v>41529</v>
      </c>
      <c r="O114" s="20">
        <v>41529</v>
      </c>
    </row>
    <row r="115" spans="1:15">
      <c r="A115" s="17">
        <v>2013</v>
      </c>
      <c r="B115" s="18" t="s">
        <v>481</v>
      </c>
      <c r="C115" s="18" t="s">
        <v>482</v>
      </c>
      <c r="D115" s="19">
        <v>3206092</v>
      </c>
      <c r="E115" s="19">
        <v>2</v>
      </c>
      <c r="F115" s="19"/>
      <c r="G115" s="19">
        <v>460</v>
      </c>
      <c r="H115" s="19">
        <v>9.1999999999999993</v>
      </c>
      <c r="I115" s="19" t="s">
        <v>487</v>
      </c>
      <c r="J115" s="19" t="s">
        <v>99</v>
      </c>
      <c r="K115" s="19" t="b">
        <v>0</v>
      </c>
      <c r="L115" s="15">
        <v>2019</v>
      </c>
      <c r="M115" s="16">
        <v>8.9800000000000005E-2</v>
      </c>
      <c r="N115" s="20">
        <v>41529</v>
      </c>
      <c r="O115" s="20">
        <v>41529</v>
      </c>
    </row>
    <row r="116" spans="1:15">
      <c r="A116" s="17">
        <v>2013</v>
      </c>
      <c r="B116" s="18" t="s">
        <v>481</v>
      </c>
      <c r="C116" s="18" t="s">
        <v>482</v>
      </c>
      <c r="D116" s="19">
        <v>3206092</v>
      </c>
      <c r="E116" s="19">
        <v>2</v>
      </c>
      <c r="F116" s="19"/>
      <c r="G116" s="19">
        <v>550</v>
      </c>
      <c r="H116" s="19">
        <v>10</v>
      </c>
      <c r="I116" s="19"/>
      <c r="J116" s="19" t="s">
        <v>111</v>
      </c>
      <c r="K116" s="19" t="b">
        <v>0</v>
      </c>
      <c r="L116" s="15">
        <v>2019</v>
      </c>
      <c r="M116" s="16">
        <v>1200000</v>
      </c>
      <c r="N116" s="20">
        <v>41529</v>
      </c>
      <c r="O116" s="20">
        <v>41529</v>
      </c>
    </row>
    <row r="117" spans="1:15">
      <c r="A117" s="17">
        <v>2013</v>
      </c>
      <c r="B117" s="18" t="s">
        <v>481</v>
      </c>
      <c r="C117" s="18" t="s">
        <v>482</v>
      </c>
      <c r="D117" s="19">
        <v>3206092</v>
      </c>
      <c r="E117" s="19">
        <v>2</v>
      </c>
      <c r="F117" s="19"/>
      <c r="G117" s="19">
        <v>470</v>
      </c>
      <c r="H117" s="19">
        <v>9.3000000000000007</v>
      </c>
      <c r="I117" s="19" t="s">
        <v>489</v>
      </c>
      <c r="J117" s="19" t="s">
        <v>490</v>
      </c>
      <c r="K117" s="19" t="b">
        <v>1</v>
      </c>
      <c r="L117" s="15">
        <v>2021</v>
      </c>
      <c r="M117" s="16">
        <v>7.9299999999999995E-2</v>
      </c>
      <c r="N117" s="20">
        <v>41529</v>
      </c>
      <c r="O117" s="20">
        <v>41529</v>
      </c>
    </row>
    <row r="118" spans="1:15">
      <c r="A118" s="17">
        <v>2013</v>
      </c>
      <c r="B118" s="18" t="s">
        <v>481</v>
      </c>
      <c r="C118" s="18" t="s">
        <v>482</v>
      </c>
      <c r="D118" s="19">
        <v>3206092</v>
      </c>
      <c r="E118" s="19">
        <v>2</v>
      </c>
      <c r="F118" s="19"/>
      <c r="G118" s="19">
        <v>590</v>
      </c>
      <c r="H118" s="19">
        <v>11.2</v>
      </c>
      <c r="I118" s="19"/>
      <c r="J118" s="19" t="s">
        <v>115</v>
      </c>
      <c r="K118" s="19" t="b">
        <v>1</v>
      </c>
      <c r="L118" s="15">
        <v>2025</v>
      </c>
      <c r="M118" s="16">
        <v>4200000</v>
      </c>
      <c r="N118" s="20">
        <v>41529</v>
      </c>
      <c r="O118" s="20">
        <v>41529</v>
      </c>
    </row>
    <row r="119" spans="1:15">
      <c r="A119" s="17">
        <v>2013</v>
      </c>
      <c r="B119" s="18" t="s">
        <v>481</v>
      </c>
      <c r="C119" s="18" t="s">
        <v>482</v>
      </c>
      <c r="D119" s="19">
        <v>3206092</v>
      </c>
      <c r="E119" s="19">
        <v>2</v>
      </c>
      <c r="F119" s="19"/>
      <c r="G119" s="19">
        <v>500</v>
      </c>
      <c r="H119" s="19">
        <v>9.6</v>
      </c>
      <c r="I119" s="19" t="s">
        <v>488</v>
      </c>
      <c r="J119" s="19" t="s">
        <v>102</v>
      </c>
      <c r="K119" s="19" t="b">
        <v>0</v>
      </c>
      <c r="L119" s="15">
        <v>2019</v>
      </c>
      <c r="M119" s="16">
        <v>8.9800000000000005E-2</v>
      </c>
      <c r="N119" s="20">
        <v>41529</v>
      </c>
      <c r="O119" s="20">
        <v>41529</v>
      </c>
    </row>
    <row r="120" spans="1:15">
      <c r="A120" s="17">
        <v>2013</v>
      </c>
      <c r="B120" s="18" t="s">
        <v>481</v>
      </c>
      <c r="C120" s="18" t="s">
        <v>482</v>
      </c>
      <c r="D120" s="19">
        <v>3206092</v>
      </c>
      <c r="E120" s="19">
        <v>2</v>
      </c>
      <c r="F120" s="19"/>
      <c r="G120" s="19">
        <v>190</v>
      </c>
      <c r="H120" s="19">
        <v>2.2000000000000002</v>
      </c>
      <c r="I120" s="19"/>
      <c r="J120" s="19" t="s">
        <v>72</v>
      </c>
      <c r="K120" s="19" t="b">
        <v>0</v>
      </c>
      <c r="L120" s="15">
        <v>2022</v>
      </c>
      <c r="M120" s="16">
        <v>1211426</v>
      </c>
      <c r="N120" s="20">
        <v>41529</v>
      </c>
      <c r="O120" s="20">
        <v>41529</v>
      </c>
    </row>
    <row r="121" spans="1:15">
      <c r="A121" s="17">
        <v>2013</v>
      </c>
      <c r="B121" s="18" t="s">
        <v>481</v>
      </c>
      <c r="C121" s="18" t="s">
        <v>482</v>
      </c>
      <c r="D121" s="19">
        <v>3206092</v>
      </c>
      <c r="E121" s="19">
        <v>2</v>
      </c>
      <c r="F121" s="19"/>
      <c r="G121" s="19">
        <v>550</v>
      </c>
      <c r="H121" s="19">
        <v>10</v>
      </c>
      <c r="I121" s="19"/>
      <c r="J121" s="19" t="s">
        <v>111</v>
      </c>
      <c r="K121" s="19" t="b">
        <v>0</v>
      </c>
      <c r="L121" s="15">
        <v>2022</v>
      </c>
      <c r="M121" s="16">
        <v>1330000</v>
      </c>
      <c r="N121" s="20">
        <v>41529</v>
      </c>
      <c r="O121" s="20">
        <v>41529</v>
      </c>
    </row>
    <row r="122" spans="1:15">
      <c r="A122" s="17">
        <v>2013</v>
      </c>
      <c r="B122" s="18" t="s">
        <v>481</v>
      </c>
      <c r="C122" s="18" t="s">
        <v>482</v>
      </c>
      <c r="D122" s="19">
        <v>3206092</v>
      </c>
      <c r="E122" s="19">
        <v>2</v>
      </c>
      <c r="F122" s="19"/>
      <c r="G122" s="19">
        <v>510</v>
      </c>
      <c r="H122" s="19">
        <v>9.6999999999999993</v>
      </c>
      <c r="I122" s="19"/>
      <c r="J122" s="19" t="s">
        <v>484</v>
      </c>
      <c r="K122" s="19" t="b">
        <v>1</v>
      </c>
      <c r="L122" s="15">
        <v>2017</v>
      </c>
      <c r="M122" s="16">
        <v>6.8400000000000002E-2</v>
      </c>
      <c r="N122" s="20">
        <v>41529</v>
      </c>
      <c r="O122" s="20">
        <v>41529</v>
      </c>
    </row>
    <row r="123" spans="1:15">
      <c r="A123" s="17">
        <v>2013</v>
      </c>
      <c r="B123" s="18" t="s">
        <v>481</v>
      </c>
      <c r="C123" s="18" t="s">
        <v>482</v>
      </c>
      <c r="D123" s="19">
        <v>3206092</v>
      </c>
      <c r="E123" s="19">
        <v>2</v>
      </c>
      <c r="F123" s="19"/>
      <c r="G123" s="19">
        <v>70</v>
      </c>
      <c r="H123" s="19" t="s">
        <v>52</v>
      </c>
      <c r="I123" s="19"/>
      <c r="J123" s="19" t="s">
        <v>53</v>
      </c>
      <c r="K123" s="19" t="b">
        <v>1</v>
      </c>
      <c r="L123" s="15">
        <v>2017</v>
      </c>
      <c r="M123" s="16">
        <v>6426000</v>
      </c>
      <c r="N123" s="20">
        <v>41529</v>
      </c>
      <c r="O123" s="20">
        <v>41529</v>
      </c>
    </row>
    <row r="124" spans="1:15">
      <c r="A124" s="17">
        <v>2013</v>
      </c>
      <c r="B124" s="18" t="s">
        <v>481</v>
      </c>
      <c r="C124" s="18" t="s">
        <v>482</v>
      </c>
      <c r="D124" s="19">
        <v>3206092</v>
      </c>
      <c r="E124" s="19">
        <v>2</v>
      </c>
      <c r="F124" s="19"/>
      <c r="G124" s="19">
        <v>420</v>
      </c>
      <c r="H124" s="19">
        <v>8.1</v>
      </c>
      <c r="I124" s="19" t="s">
        <v>494</v>
      </c>
      <c r="J124" s="19" t="s">
        <v>96</v>
      </c>
      <c r="K124" s="19" t="b">
        <v>0</v>
      </c>
      <c r="L124" s="15">
        <v>2013</v>
      </c>
      <c r="M124" s="16">
        <v>-413988</v>
      </c>
      <c r="N124" s="20">
        <v>41529</v>
      </c>
      <c r="O124" s="20">
        <v>41529</v>
      </c>
    </row>
    <row r="125" spans="1:15">
      <c r="A125" s="17">
        <v>2013</v>
      </c>
      <c r="B125" s="18" t="s">
        <v>481</v>
      </c>
      <c r="C125" s="18" t="s">
        <v>482</v>
      </c>
      <c r="D125" s="19">
        <v>3206092</v>
      </c>
      <c r="E125" s="19">
        <v>2</v>
      </c>
      <c r="F125" s="19"/>
      <c r="G125" s="19">
        <v>680</v>
      </c>
      <c r="H125" s="19" t="s">
        <v>126</v>
      </c>
      <c r="I125" s="19"/>
      <c r="J125" s="19" t="s">
        <v>127</v>
      </c>
      <c r="K125" s="19" t="b">
        <v>1</v>
      </c>
      <c r="L125" s="15">
        <v>2013</v>
      </c>
      <c r="M125" s="16">
        <v>232815</v>
      </c>
      <c r="N125" s="20">
        <v>41529</v>
      </c>
      <c r="O125" s="20">
        <v>41529</v>
      </c>
    </row>
    <row r="126" spans="1:15">
      <c r="A126" s="17">
        <v>2013</v>
      </c>
      <c r="B126" s="18" t="s">
        <v>481</v>
      </c>
      <c r="C126" s="18" t="s">
        <v>482</v>
      </c>
      <c r="D126" s="19">
        <v>3206092</v>
      </c>
      <c r="E126" s="19">
        <v>2</v>
      </c>
      <c r="F126" s="19"/>
      <c r="G126" s="19">
        <v>310</v>
      </c>
      <c r="H126" s="19">
        <v>5.0999999999999996</v>
      </c>
      <c r="I126" s="19"/>
      <c r="J126" s="19" t="s">
        <v>84</v>
      </c>
      <c r="K126" s="19" t="b">
        <v>1</v>
      </c>
      <c r="L126" s="15">
        <v>2023</v>
      </c>
      <c r="M126" s="16">
        <v>1510000</v>
      </c>
      <c r="N126" s="20">
        <v>41529</v>
      </c>
      <c r="O126" s="20">
        <v>41529</v>
      </c>
    </row>
    <row r="127" spans="1:15">
      <c r="A127" s="17">
        <v>2013</v>
      </c>
      <c r="B127" s="18" t="s">
        <v>481</v>
      </c>
      <c r="C127" s="18" t="s">
        <v>482</v>
      </c>
      <c r="D127" s="19">
        <v>3206092</v>
      </c>
      <c r="E127" s="19">
        <v>2</v>
      </c>
      <c r="F127" s="19"/>
      <c r="G127" s="19">
        <v>390</v>
      </c>
      <c r="H127" s="19">
        <v>6.3</v>
      </c>
      <c r="I127" s="19" t="s">
        <v>498</v>
      </c>
      <c r="J127" s="19" t="s">
        <v>94</v>
      </c>
      <c r="K127" s="19" t="b">
        <v>0</v>
      </c>
      <c r="L127" s="15">
        <v>2022</v>
      </c>
      <c r="M127" s="16">
        <v>0.19070000000000001</v>
      </c>
      <c r="N127" s="20">
        <v>41529</v>
      </c>
      <c r="O127" s="20">
        <v>41529</v>
      </c>
    </row>
    <row r="128" spans="1:15">
      <c r="A128" s="17">
        <v>2013</v>
      </c>
      <c r="B128" s="18" t="s">
        <v>481</v>
      </c>
      <c r="C128" s="18" t="s">
        <v>482</v>
      </c>
      <c r="D128" s="19">
        <v>3206092</v>
      </c>
      <c r="E128" s="19">
        <v>2</v>
      </c>
      <c r="F128" s="19"/>
      <c r="G128" s="19">
        <v>530</v>
      </c>
      <c r="H128" s="19">
        <v>9.8000000000000007</v>
      </c>
      <c r="I128" s="19" t="s">
        <v>486</v>
      </c>
      <c r="J128" s="19" t="s">
        <v>108</v>
      </c>
      <c r="K128" s="19" t="b">
        <v>0</v>
      </c>
      <c r="L128" s="15">
        <v>2015</v>
      </c>
      <c r="M128" s="16">
        <v>-46</v>
      </c>
      <c r="N128" s="20">
        <v>41529</v>
      </c>
      <c r="O128" s="20">
        <v>41529</v>
      </c>
    </row>
    <row r="129" spans="1:15">
      <c r="A129" s="17">
        <v>2013</v>
      </c>
      <c r="B129" s="18" t="s">
        <v>481</v>
      </c>
      <c r="C129" s="18" t="s">
        <v>482</v>
      </c>
      <c r="D129" s="19">
        <v>3206092</v>
      </c>
      <c r="E129" s="19">
        <v>2</v>
      </c>
      <c r="F129" s="19"/>
      <c r="G129" s="19">
        <v>170</v>
      </c>
      <c r="H129" s="19" t="s">
        <v>68</v>
      </c>
      <c r="I129" s="19"/>
      <c r="J129" s="19" t="s">
        <v>69</v>
      </c>
      <c r="K129" s="19" t="b">
        <v>1</v>
      </c>
      <c r="L129" s="15">
        <v>2014</v>
      </c>
      <c r="M129" s="16">
        <v>550000</v>
      </c>
      <c r="N129" s="20">
        <v>41529</v>
      </c>
      <c r="O129" s="20">
        <v>41529</v>
      </c>
    </row>
    <row r="130" spans="1:15">
      <c r="A130" s="17">
        <v>2013</v>
      </c>
      <c r="B130" s="18" t="s">
        <v>481</v>
      </c>
      <c r="C130" s="18" t="s">
        <v>482</v>
      </c>
      <c r="D130" s="19">
        <v>3206092</v>
      </c>
      <c r="E130" s="19">
        <v>2</v>
      </c>
      <c r="F130" s="19"/>
      <c r="G130" s="19">
        <v>520</v>
      </c>
      <c r="H130" s="19" t="s">
        <v>106</v>
      </c>
      <c r="I130" s="19"/>
      <c r="J130" s="19" t="s">
        <v>493</v>
      </c>
      <c r="K130" s="19" t="b">
        <v>1</v>
      </c>
      <c r="L130" s="15">
        <v>2020</v>
      </c>
      <c r="M130" s="16">
        <v>9.3899999999999997E-2</v>
      </c>
      <c r="N130" s="20">
        <v>41529</v>
      </c>
      <c r="O130" s="20">
        <v>41529</v>
      </c>
    </row>
    <row r="131" spans="1:15">
      <c r="A131" s="17">
        <v>2013</v>
      </c>
      <c r="B131" s="18" t="s">
        <v>481</v>
      </c>
      <c r="C131" s="18" t="s">
        <v>482</v>
      </c>
      <c r="D131" s="19">
        <v>3206092</v>
      </c>
      <c r="E131" s="19">
        <v>2</v>
      </c>
      <c r="F131" s="19"/>
      <c r="G131" s="19">
        <v>540</v>
      </c>
      <c r="H131" s="19" t="s">
        <v>109</v>
      </c>
      <c r="I131" s="19" t="s">
        <v>499</v>
      </c>
      <c r="J131" s="19" t="s">
        <v>110</v>
      </c>
      <c r="K131" s="19" t="b">
        <v>0</v>
      </c>
      <c r="L131" s="15">
        <v>2016</v>
      </c>
      <c r="M131" s="16">
        <v>41</v>
      </c>
      <c r="N131" s="20">
        <v>41529</v>
      </c>
      <c r="O131" s="20">
        <v>41529</v>
      </c>
    </row>
    <row r="132" spans="1:15">
      <c r="A132" s="17">
        <v>2013</v>
      </c>
      <c r="B132" s="18" t="s">
        <v>481</v>
      </c>
      <c r="C132" s="18" t="s">
        <v>482</v>
      </c>
      <c r="D132" s="19">
        <v>3206092</v>
      </c>
      <c r="E132" s="19">
        <v>2</v>
      </c>
      <c r="F132" s="19"/>
      <c r="G132" s="19">
        <v>120</v>
      </c>
      <c r="H132" s="19">
        <v>2</v>
      </c>
      <c r="I132" s="19" t="s">
        <v>496</v>
      </c>
      <c r="J132" s="19" t="s">
        <v>21</v>
      </c>
      <c r="K132" s="19" t="b">
        <v>0</v>
      </c>
      <c r="L132" s="15">
        <v>2021</v>
      </c>
      <c r="M132" s="16">
        <v>18163045</v>
      </c>
      <c r="N132" s="20">
        <v>41529</v>
      </c>
      <c r="O132" s="20">
        <v>41529</v>
      </c>
    </row>
    <row r="133" spans="1:15">
      <c r="A133" s="17">
        <v>2013</v>
      </c>
      <c r="B133" s="18" t="s">
        <v>481</v>
      </c>
      <c r="C133" s="18" t="s">
        <v>482</v>
      </c>
      <c r="D133" s="19">
        <v>3206092</v>
      </c>
      <c r="E133" s="19">
        <v>2</v>
      </c>
      <c r="F133" s="19"/>
      <c r="G133" s="19">
        <v>430</v>
      </c>
      <c r="H133" s="19">
        <v>8.1999999999999993</v>
      </c>
      <c r="I133" s="19" t="s">
        <v>483</v>
      </c>
      <c r="J133" s="19" t="s">
        <v>97</v>
      </c>
      <c r="K133" s="19" t="b">
        <v>0</v>
      </c>
      <c r="L133" s="15">
        <v>2015</v>
      </c>
      <c r="M133" s="16">
        <v>1026327</v>
      </c>
      <c r="N133" s="20">
        <v>41529</v>
      </c>
      <c r="O133" s="20">
        <v>41529</v>
      </c>
    </row>
    <row r="134" spans="1:15">
      <c r="A134" s="17">
        <v>2013</v>
      </c>
      <c r="B134" s="18" t="s">
        <v>481</v>
      </c>
      <c r="C134" s="18" t="s">
        <v>482</v>
      </c>
      <c r="D134" s="19">
        <v>3206092</v>
      </c>
      <c r="E134" s="19">
        <v>2</v>
      </c>
      <c r="F134" s="19"/>
      <c r="G134" s="19">
        <v>310</v>
      </c>
      <c r="H134" s="19">
        <v>5.0999999999999996</v>
      </c>
      <c r="I134" s="19"/>
      <c r="J134" s="19" t="s">
        <v>84</v>
      </c>
      <c r="K134" s="19" t="b">
        <v>1</v>
      </c>
      <c r="L134" s="15">
        <v>2020</v>
      </c>
      <c r="M134" s="16">
        <v>1300000</v>
      </c>
      <c r="N134" s="20">
        <v>41529</v>
      </c>
      <c r="O134" s="20">
        <v>41529</v>
      </c>
    </row>
    <row r="135" spans="1:15">
      <c r="A135" s="17">
        <v>2013</v>
      </c>
      <c r="B135" s="18" t="s">
        <v>481</v>
      </c>
      <c r="C135" s="18" t="s">
        <v>482</v>
      </c>
      <c r="D135" s="19">
        <v>3206092</v>
      </c>
      <c r="E135" s="19">
        <v>2</v>
      </c>
      <c r="F135" s="19"/>
      <c r="G135" s="19">
        <v>10</v>
      </c>
      <c r="H135" s="19">
        <v>1</v>
      </c>
      <c r="I135" s="19" t="s">
        <v>491</v>
      </c>
      <c r="J135" s="19" t="s">
        <v>26</v>
      </c>
      <c r="K135" s="19" t="b">
        <v>1</v>
      </c>
      <c r="L135" s="15">
        <v>2021</v>
      </c>
      <c r="M135" s="16">
        <v>19363045</v>
      </c>
      <c r="N135" s="20">
        <v>41529</v>
      </c>
      <c r="O135" s="20">
        <v>41529</v>
      </c>
    </row>
    <row r="136" spans="1:15">
      <c r="A136" s="17">
        <v>2013</v>
      </c>
      <c r="B136" s="18" t="s">
        <v>481</v>
      </c>
      <c r="C136" s="18" t="s">
        <v>482</v>
      </c>
      <c r="D136" s="19">
        <v>3206092</v>
      </c>
      <c r="E136" s="19">
        <v>2</v>
      </c>
      <c r="F136" s="19"/>
      <c r="G136" s="19">
        <v>300</v>
      </c>
      <c r="H136" s="19">
        <v>5</v>
      </c>
      <c r="I136" s="19" t="s">
        <v>500</v>
      </c>
      <c r="J136" s="19" t="s">
        <v>83</v>
      </c>
      <c r="K136" s="19" t="b">
        <v>0</v>
      </c>
      <c r="L136" s="15">
        <v>2020</v>
      </c>
      <c r="M136" s="16">
        <v>1300000</v>
      </c>
      <c r="N136" s="20">
        <v>41529</v>
      </c>
      <c r="O136" s="20">
        <v>41529</v>
      </c>
    </row>
    <row r="137" spans="1:15">
      <c r="A137" s="17">
        <v>2013</v>
      </c>
      <c r="B137" s="18" t="s">
        <v>481</v>
      </c>
      <c r="C137" s="18" t="s">
        <v>482</v>
      </c>
      <c r="D137" s="19">
        <v>3206092</v>
      </c>
      <c r="E137" s="19">
        <v>2</v>
      </c>
      <c r="F137" s="19"/>
      <c r="G137" s="19">
        <v>430</v>
      </c>
      <c r="H137" s="19">
        <v>8.1999999999999993</v>
      </c>
      <c r="I137" s="19" t="s">
        <v>483</v>
      </c>
      <c r="J137" s="19" t="s">
        <v>97</v>
      </c>
      <c r="K137" s="19" t="b">
        <v>0</v>
      </c>
      <c r="L137" s="15">
        <v>2022</v>
      </c>
      <c r="M137" s="16">
        <v>2241426</v>
      </c>
      <c r="N137" s="20">
        <v>41529</v>
      </c>
      <c r="O137" s="20">
        <v>41529</v>
      </c>
    </row>
    <row r="138" spans="1:15">
      <c r="A138" s="17">
        <v>2013</v>
      </c>
      <c r="B138" s="18" t="s">
        <v>481</v>
      </c>
      <c r="C138" s="18" t="s">
        <v>482</v>
      </c>
      <c r="D138" s="19">
        <v>3206092</v>
      </c>
      <c r="E138" s="19">
        <v>2</v>
      </c>
      <c r="F138" s="19"/>
      <c r="G138" s="19">
        <v>530</v>
      </c>
      <c r="H138" s="19">
        <v>9.8000000000000007</v>
      </c>
      <c r="I138" s="19" t="s">
        <v>486</v>
      </c>
      <c r="J138" s="19" t="s">
        <v>108</v>
      </c>
      <c r="K138" s="19" t="b">
        <v>0</v>
      </c>
      <c r="L138" s="15">
        <v>2020</v>
      </c>
      <c r="M138" s="16">
        <v>28</v>
      </c>
      <c r="N138" s="20">
        <v>41529</v>
      </c>
      <c r="O138" s="20">
        <v>41529</v>
      </c>
    </row>
    <row r="139" spans="1:15">
      <c r="A139" s="17">
        <v>2013</v>
      </c>
      <c r="B139" s="18" t="s">
        <v>481</v>
      </c>
      <c r="C139" s="18" t="s">
        <v>482</v>
      </c>
      <c r="D139" s="19">
        <v>3206092</v>
      </c>
      <c r="E139" s="19">
        <v>2</v>
      </c>
      <c r="F139" s="19"/>
      <c r="G139" s="19">
        <v>200</v>
      </c>
      <c r="H139" s="19">
        <v>3</v>
      </c>
      <c r="I139" s="19" t="s">
        <v>492</v>
      </c>
      <c r="J139" s="19" t="s">
        <v>23</v>
      </c>
      <c r="K139" s="19" t="b">
        <v>0</v>
      </c>
      <c r="L139" s="15">
        <v>2025</v>
      </c>
      <c r="M139" s="16">
        <v>743000</v>
      </c>
      <c r="N139" s="20">
        <v>41529</v>
      </c>
      <c r="O139" s="20">
        <v>41529</v>
      </c>
    </row>
    <row r="140" spans="1:15">
      <c r="A140" s="17">
        <v>2013</v>
      </c>
      <c r="B140" s="18" t="s">
        <v>481</v>
      </c>
      <c r="C140" s="18" t="s">
        <v>482</v>
      </c>
      <c r="D140" s="19">
        <v>3206092</v>
      </c>
      <c r="E140" s="19">
        <v>2</v>
      </c>
      <c r="F140" s="19"/>
      <c r="G140" s="19">
        <v>80</v>
      </c>
      <c r="H140" s="19" t="s">
        <v>54</v>
      </c>
      <c r="I140" s="19"/>
      <c r="J140" s="19" t="s">
        <v>55</v>
      </c>
      <c r="K140" s="19" t="b">
        <v>1</v>
      </c>
      <c r="L140" s="15">
        <v>2014</v>
      </c>
      <c r="M140" s="16">
        <v>3900000</v>
      </c>
      <c r="N140" s="20">
        <v>41529</v>
      </c>
      <c r="O140" s="20">
        <v>41529</v>
      </c>
    </row>
    <row r="141" spans="1:15">
      <c r="A141" s="17">
        <v>2013</v>
      </c>
      <c r="B141" s="18" t="s">
        <v>481</v>
      </c>
      <c r="C141" s="18" t="s">
        <v>482</v>
      </c>
      <c r="D141" s="19">
        <v>3206092</v>
      </c>
      <c r="E141" s="19">
        <v>2</v>
      </c>
      <c r="F141" s="19"/>
      <c r="G141" s="19">
        <v>560</v>
      </c>
      <c r="H141" s="19">
        <v>10.1</v>
      </c>
      <c r="I141" s="19"/>
      <c r="J141" s="19" t="s">
        <v>112</v>
      </c>
      <c r="K141" s="19" t="b">
        <v>0</v>
      </c>
      <c r="L141" s="15">
        <v>2019</v>
      </c>
      <c r="M141" s="16">
        <v>1200000</v>
      </c>
      <c r="N141" s="20">
        <v>41529</v>
      </c>
      <c r="O141" s="20">
        <v>41529</v>
      </c>
    </row>
    <row r="142" spans="1:15">
      <c r="A142" s="17">
        <v>2013</v>
      </c>
      <c r="B142" s="18" t="s">
        <v>481</v>
      </c>
      <c r="C142" s="18" t="s">
        <v>482</v>
      </c>
      <c r="D142" s="19">
        <v>3206092</v>
      </c>
      <c r="E142" s="19">
        <v>2</v>
      </c>
      <c r="F142" s="19"/>
      <c r="G142" s="19">
        <v>550</v>
      </c>
      <c r="H142" s="19">
        <v>10</v>
      </c>
      <c r="I142" s="19"/>
      <c r="J142" s="19" t="s">
        <v>111</v>
      </c>
      <c r="K142" s="19" t="b">
        <v>0</v>
      </c>
      <c r="L142" s="15">
        <v>2016</v>
      </c>
      <c r="M142" s="16">
        <v>400000</v>
      </c>
      <c r="N142" s="20">
        <v>41529</v>
      </c>
      <c r="O142" s="20">
        <v>41529</v>
      </c>
    </row>
    <row r="143" spans="1:15">
      <c r="A143" s="17">
        <v>2013</v>
      </c>
      <c r="B143" s="18" t="s">
        <v>481</v>
      </c>
      <c r="C143" s="18" t="s">
        <v>482</v>
      </c>
      <c r="D143" s="19">
        <v>3206092</v>
      </c>
      <c r="E143" s="19">
        <v>2</v>
      </c>
      <c r="F143" s="19"/>
      <c r="G143" s="19">
        <v>540</v>
      </c>
      <c r="H143" s="19" t="s">
        <v>109</v>
      </c>
      <c r="I143" s="19" t="s">
        <v>499</v>
      </c>
      <c r="J143" s="19" t="s">
        <v>110</v>
      </c>
      <c r="K143" s="19" t="b">
        <v>0</v>
      </c>
      <c r="L143" s="15">
        <v>2022</v>
      </c>
      <c r="M143" s="16">
        <v>191</v>
      </c>
      <c r="N143" s="20">
        <v>41529</v>
      </c>
      <c r="O143" s="20">
        <v>41529</v>
      </c>
    </row>
    <row r="144" spans="1:15">
      <c r="A144" s="17">
        <v>2013</v>
      </c>
      <c r="B144" s="18" t="s">
        <v>481</v>
      </c>
      <c r="C144" s="18" t="s">
        <v>482</v>
      </c>
      <c r="D144" s="19">
        <v>3206092</v>
      </c>
      <c r="E144" s="19">
        <v>2</v>
      </c>
      <c r="F144" s="19"/>
      <c r="G144" s="19">
        <v>470</v>
      </c>
      <c r="H144" s="19">
        <v>9.3000000000000007</v>
      </c>
      <c r="I144" s="19" t="s">
        <v>489</v>
      </c>
      <c r="J144" s="19" t="s">
        <v>490</v>
      </c>
      <c r="K144" s="19" t="b">
        <v>1</v>
      </c>
      <c r="L144" s="15">
        <v>2017</v>
      </c>
      <c r="M144" s="16">
        <v>6.3399999999999998E-2</v>
      </c>
      <c r="N144" s="20">
        <v>41529</v>
      </c>
      <c r="O144" s="20">
        <v>41529</v>
      </c>
    </row>
    <row r="145" spans="1:15">
      <c r="A145" s="17">
        <v>2013</v>
      </c>
      <c r="B145" s="18" t="s">
        <v>481</v>
      </c>
      <c r="C145" s="18" t="s">
        <v>482</v>
      </c>
      <c r="D145" s="19">
        <v>3206092</v>
      </c>
      <c r="E145" s="19">
        <v>2</v>
      </c>
      <c r="F145" s="19"/>
      <c r="G145" s="19">
        <v>100</v>
      </c>
      <c r="H145" s="19" t="s">
        <v>57</v>
      </c>
      <c r="I145" s="19"/>
      <c r="J145" s="19" t="s">
        <v>58</v>
      </c>
      <c r="K145" s="19" t="b">
        <v>1</v>
      </c>
      <c r="L145" s="15">
        <v>2020</v>
      </c>
      <c r="M145" s="16">
        <v>300000</v>
      </c>
      <c r="N145" s="20">
        <v>41529</v>
      </c>
      <c r="O145" s="20">
        <v>41529</v>
      </c>
    </row>
    <row r="146" spans="1:15">
      <c r="A146" s="17">
        <v>2013</v>
      </c>
      <c r="B146" s="18" t="s">
        <v>481</v>
      </c>
      <c r="C146" s="18" t="s">
        <v>482</v>
      </c>
      <c r="D146" s="19">
        <v>3206092</v>
      </c>
      <c r="E146" s="19">
        <v>2</v>
      </c>
      <c r="F146" s="19"/>
      <c r="G146" s="19">
        <v>480</v>
      </c>
      <c r="H146" s="19">
        <v>9.4</v>
      </c>
      <c r="I146" s="19" t="s">
        <v>487</v>
      </c>
      <c r="J146" s="19" t="s">
        <v>100</v>
      </c>
      <c r="K146" s="19" t="b">
        <v>0</v>
      </c>
      <c r="L146" s="15">
        <v>2018</v>
      </c>
      <c r="M146" s="16">
        <v>6.0400000000000002E-2</v>
      </c>
      <c r="N146" s="20">
        <v>41529</v>
      </c>
      <c r="O146" s="20">
        <v>41529</v>
      </c>
    </row>
    <row r="147" spans="1:15">
      <c r="A147" s="17">
        <v>2013</v>
      </c>
      <c r="B147" s="18" t="s">
        <v>481</v>
      </c>
      <c r="C147" s="18" t="s">
        <v>482</v>
      </c>
      <c r="D147" s="19">
        <v>3206092</v>
      </c>
      <c r="E147" s="19">
        <v>2</v>
      </c>
      <c r="F147" s="19"/>
      <c r="G147" s="19">
        <v>130</v>
      </c>
      <c r="H147" s="19">
        <v>2.1</v>
      </c>
      <c r="I147" s="19"/>
      <c r="J147" s="19" t="s">
        <v>61</v>
      </c>
      <c r="K147" s="19" t="b">
        <v>1</v>
      </c>
      <c r="L147" s="15">
        <v>2018</v>
      </c>
      <c r="M147" s="16">
        <v>16741237</v>
      </c>
      <c r="N147" s="20">
        <v>41529</v>
      </c>
      <c r="O147" s="20">
        <v>41529</v>
      </c>
    </row>
    <row r="148" spans="1:15">
      <c r="A148" s="17">
        <v>2013</v>
      </c>
      <c r="B148" s="18" t="s">
        <v>481</v>
      </c>
      <c r="C148" s="18" t="s">
        <v>482</v>
      </c>
      <c r="D148" s="19">
        <v>3206092</v>
      </c>
      <c r="E148" s="19">
        <v>2</v>
      </c>
      <c r="F148" s="19"/>
      <c r="G148" s="19">
        <v>460</v>
      </c>
      <c r="H148" s="19">
        <v>9.1999999999999993</v>
      </c>
      <c r="I148" s="19" t="s">
        <v>487</v>
      </c>
      <c r="J148" s="19" t="s">
        <v>99</v>
      </c>
      <c r="K148" s="19" t="b">
        <v>0</v>
      </c>
      <c r="L148" s="15">
        <v>2020</v>
      </c>
      <c r="M148" s="16">
        <v>9.11E-2</v>
      </c>
      <c r="N148" s="20">
        <v>41529</v>
      </c>
      <c r="O148" s="20">
        <v>41529</v>
      </c>
    </row>
    <row r="149" spans="1:15">
      <c r="A149" s="17">
        <v>2013</v>
      </c>
      <c r="B149" s="18" t="s">
        <v>481</v>
      </c>
      <c r="C149" s="18" t="s">
        <v>482</v>
      </c>
      <c r="D149" s="19">
        <v>3206092</v>
      </c>
      <c r="E149" s="19">
        <v>2</v>
      </c>
      <c r="F149" s="19"/>
      <c r="G149" s="19">
        <v>120</v>
      </c>
      <c r="H149" s="19">
        <v>2</v>
      </c>
      <c r="I149" s="19" t="s">
        <v>496</v>
      </c>
      <c r="J149" s="19" t="s">
        <v>21</v>
      </c>
      <c r="K149" s="19" t="b">
        <v>0</v>
      </c>
      <c r="L149" s="15">
        <v>2023</v>
      </c>
      <c r="M149" s="16">
        <v>19013984</v>
      </c>
      <c r="N149" s="20">
        <v>41529</v>
      </c>
      <c r="O149" s="20">
        <v>41529</v>
      </c>
    </row>
    <row r="150" spans="1:15">
      <c r="A150" s="17">
        <v>2013</v>
      </c>
      <c r="B150" s="18" t="s">
        <v>481</v>
      </c>
      <c r="C150" s="18" t="s">
        <v>482</v>
      </c>
      <c r="D150" s="19">
        <v>3206092</v>
      </c>
      <c r="E150" s="19">
        <v>2</v>
      </c>
      <c r="F150" s="19"/>
      <c r="G150" s="19">
        <v>450</v>
      </c>
      <c r="H150" s="19">
        <v>9.1</v>
      </c>
      <c r="I150" s="19" t="s">
        <v>489</v>
      </c>
      <c r="J150" s="19" t="s">
        <v>98</v>
      </c>
      <c r="K150" s="19" t="b">
        <v>1</v>
      </c>
      <c r="L150" s="15">
        <v>2014</v>
      </c>
      <c r="M150" s="16">
        <v>7.9399999999999998E-2</v>
      </c>
      <c r="N150" s="20">
        <v>41529</v>
      </c>
      <c r="O150" s="20">
        <v>41529</v>
      </c>
    </row>
    <row r="151" spans="1:15">
      <c r="A151" s="17">
        <v>2013</v>
      </c>
      <c r="B151" s="18" t="s">
        <v>481</v>
      </c>
      <c r="C151" s="18" t="s">
        <v>482</v>
      </c>
      <c r="D151" s="19">
        <v>3206092</v>
      </c>
      <c r="E151" s="19">
        <v>2</v>
      </c>
      <c r="F151" s="19"/>
      <c r="G151" s="19">
        <v>450</v>
      </c>
      <c r="H151" s="19">
        <v>9.1</v>
      </c>
      <c r="I151" s="19" t="s">
        <v>489</v>
      </c>
      <c r="J151" s="19" t="s">
        <v>98</v>
      </c>
      <c r="K151" s="19" t="b">
        <v>1</v>
      </c>
      <c r="L151" s="15">
        <v>2019</v>
      </c>
      <c r="M151" s="16">
        <v>8.9800000000000005E-2</v>
      </c>
      <c r="N151" s="20">
        <v>41529</v>
      </c>
      <c r="O151" s="20">
        <v>41529</v>
      </c>
    </row>
    <row r="152" spans="1:15">
      <c r="A152" s="17">
        <v>2013</v>
      </c>
      <c r="B152" s="18" t="s">
        <v>481</v>
      </c>
      <c r="C152" s="18" t="s">
        <v>482</v>
      </c>
      <c r="D152" s="19">
        <v>3206092</v>
      </c>
      <c r="E152" s="19">
        <v>2</v>
      </c>
      <c r="F152" s="19"/>
      <c r="G152" s="19">
        <v>260</v>
      </c>
      <c r="H152" s="19">
        <v>4.3</v>
      </c>
      <c r="I152" s="19"/>
      <c r="J152" s="19" t="s">
        <v>79</v>
      </c>
      <c r="K152" s="19" t="b">
        <v>1</v>
      </c>
      <c r="L152" s="15">
        <v>2013</v>
      </c>
      <c r="M152" s="16">
        <v>1300000</v>
      </c>
      <c r="N152" s="20">
        <v>41529</v>
      </c>
      <c r="O152" s="20">
        <v>41529</v>
      </c>
    </row>
    <row r="153" spans="1:15">
      <c r="A153" s="17">
        <v>2013</v>
      </c>
      <c r="B153" s="18" t="s">
        <v>481</v>
      </c>
      <c r="C153" s="18" t="s">
        <v>482</v>
      </c>
      <c r="D153" s="19">
        <v>3206092</v>
      </c>
      <c r="E153" s="19">
        <v>2</v>
      </c>
      <c r="F153" s="19"/>
      <c r="G153" s="19">
        <v>630</v>
      </c>
      <c r="H153" s="19">
        <v>11.4</v>
      </c>
      <c r="I153" s="19"/>
      <c r="J153" s="19" t="s">
        <v>121</v>
      </c>
      <c r="K153" s="19" t="b">
        <v>1</v>
      </c>
      <c r="L153" s="15">
        <v>2013</v>
      </c>
      <c r="M153" s="16">
        <v>1310485</v>
      </c>
      <c r="N153" s="20">
        <v>41529</v>
      </c>
      <c r="O153" s="20">
        <v>41529</v>
      </c>
    </row>
    <row r="154" spans="1:15">
      <c r="A154" s="17">
        <v>2013</v>
      </c>
      <c r="B154" s="18" t="s">
        <v>481</v>
      </c>
      <c r="C154" s="18" t="s">
        <v>482</v>
      </c>
      <c r="D154" s="19">
        <v>3206092</v>
      </c>
      <c r="E154" s="19">
        <v>2</v>
      </c>
      <c r="F154" s="19"/>
      <c r="G154" s="19">
        <v>450</v>
      </c>
      <c r="H154" s="19">
        <v>9.1</v>
      </c>
      <c r="I154" s="19" t="s">
        <v>489</v>
      </c>
      <c r="J154" s="19" t="s">
        <v>98</v>
      </c>
      <c r="K154" s="19" t="b">
        <v>1</v>
      </c>
      <c r="L154" s="15">
        <v>2021</v>
      </c>
      <c r="M154" s="16">
        <v>7.9299999999999995E-2</v>
      </c>
      <c r="N154" s="20">
        <v>41529</v>
      </c>
      <c r="O154" s="20">
        <v>41529</v>
      </c>
    </row>
    <row r="155" spans="1:15">
      <c r="A155" s="17">
        <v>2013</v>
      </c>
      <c r="B155" s="18" t="s">
        <v>481</v>
      </c>
      <c r="C155" s="18" t="s">
        <v>482</v>
      </c>
      <c r="D155" s="19">
        <v>3206092</v>
      </c>
      <c r="E155" s="19">
        <v>2</v>
      </c>
      <c r="F155" s="19"/>
      <c r="G155" s="19">
        <v>630</v>
      </c>
      <c r="H155" s="19">
        <v>11.4</v>
      </c>
      <c r="I155" s="19"/>
      <c r="J155" s="19" t="s">
        <v>121</v>
      </c>
      <c r="K155" s="19" t="b">
        <v>1</v>
      </c>
      <c r="L155" s="15">
        <v>2015</v>
      </c>
      <c r="M155" s="16">
        <v>10456</v>
      </c>
      <c r="N155" s="20">
        <v>41529</v>
      </c>
      <c r="O155" s="20">
        <v>41529</v>
      </c>
    </row>
    <row r="156" spans="1:15">
      <c r="A156" s="17">
        <v>2013</v>
      </c>
      <c r="B156" s="18" t="s">
        <v>481</v>
      </c>
      <c r="C156" s="18" t="s">
        <v>482</v>
      </c>
      <c r="D156" s="19">
        <v>3206092</v>
      </c>
      <c r="E156" s="19">
        <v>2</v>
      </c>
      <c r="F156" s="19"/>
      <c r="G156" s="19">
        <v>10</v>
      </c>
      <c r="H156" s="19">
        <v>1</v>
      </c>
      <c r="I156" s="19" t="s">
        <v>491</v>
      </c>
      <c r="J156" s="19" t="s">
        <v>26</v>
      </c>
      <c r="K156" s="19" t="b">
        <v>1</v>
      </c>
      <c r="L156" s="15">
        <v>2015</v>
      </c>
      <c r="M156" s="16">
        <v>17600000</v>
      </c>
      <c r="N156" s="20">
        <v>41529</v>
      </c>
      <c r="O156" s="20">
        <v>41529</v>
      </c>
    </row>
    <row r="157" spans="1:15">
      <c r="A157" s="17">
        <v>2013</v>
      </c>
      <c r="B157" s="18" t="s">
        <v>481</v>
      </c>
      <c r="C157" s="18" t="s">
        <v>482</v>
      </c>
      <c r="D157" s="19">
        <v>3206092</v>
      </c>
      <c r="E157" s="19">
        <v>2</v>
      </c>
      <c r="F157" s="19"/>
      <c r="G157" s="19">
        <v>40</v>
      </c>
      <c r="H157" s="19" t="s">
        <v>46</v>
      </c>
      <c r="I157" s="19"/>
      <c r="J157" s="19" t="s">
        <v>47</v>
      </c>
      <c r="K157" s="19" t="b">
        <v>1</v>
      </c>
      <c r="L157" s="15">
        <v>2025</v>
      </c>
      <c r="M157" s="16">
        <v>16000</v>
      </c>
      <c r="N157" s="20">
        <v>41529</v>
      </c>
      <c r="O157" s="20">
        <v>41529</v>
      </c>
    </row>
    <row r="158" spans="1:15">
      <c r="A158" s="17">
        <v>2013</v>
      </c>
      <c r="B158" s="18" t="s">
        <v>481</v>
      </c>
      <c r="C158" s="18" t="s">
        <v>482</v>
      </c>
      <c r="D158" s="19">
        <v>3206092</v>
      </c>
      <c r="E158" s="19">
        <v>2</v>
      </c>
      <c r="F158" s="19"/>
      <c r="G158" s="19">
        <v>480</v>
      </c>
      <c r="H158" s="19">
        <v>9.4</v>
      </c>
      <c r="I158" s="19" t="s">
        <v>487</v>
      </c>
      <c r="J158" s="19" t="s">
        <v>100</v>
      </c>
      <c r="K158" s="19" t="b">
        <v>0</v>
      </c>
      <c r="L158" s="15">
        <v>2013</v>
      </c>
      <c r="M158" s="16">
        <v>0.126</v>
      </c>
      <c r="N158" s="20">
        <v>41529</v>
      </c>
      <c r="O158" s="20">
        <v>41529</v>
      </c>
    </row>
    <row r="159" spans="1:15">
      <c r="A159" s="17">
        <v>2013</v>
      </c>
      <c r="B159" s="18" t="s">
        <v>481</v>
      </c>
      <c r="C159" s="18" t="s">
        <v>482</v>
      </c>
      <c r="D159" s="19">
        <v>3206092</v>
      </c>
      <c r="E159" s="19">
        <v>2</v>
      </c>
      <c r="F159" s="19"/>
      <c r="G159" s="19">
        <v>80</v>
      </c>
      <c r="H159" s="19" t="s">
        <v>54</v>
      </c>
      <c r="I159" s="19"/>
      <c r="J159" s="19" t="s">
        <v>55</v>
      </c>
      <c r="K159" s="19" t="b">
        <v>1</v>
      </c>
      <c r="L159" s="15">
        <v>2016</v>
      </c>
      <c r="M159" s="16">
        <v>4350000</v>
      </c>
      <c r="N159" s="20">
        <v>41529</v>
      </c>
      <c r="O159" s="20">
        <v>41529</v>
      </c>
    </row>
    <row r="160" spans="1:15">
      <c r="A160" s="17">
        <v>2013</v>
      </c>
      <c r="B160" s="18" t="s">
        <v>481</v>
      </c>
      <c r="C160" s="18" t="s">
        <v>482</v>
      </c>
      <c r="D160" s="19">
        <v>3206092</v>
      </c>
      <c r="E160" s="19">
        <v>2</v>
      </c>
      <c r="F160" s="19"/>
      <c r="G160" s="19">
        <v>880</v>
      </c>
      <c r="H160" s="19">
        <v>14.1</v>
      </c>
      <c r="I160" s="19"/>
      <c r="J160" s="19" t="s">
        <v>154</v>
      </c>
      <c r="K160" s="19" t="b">
        <v>1</v>
      </c>
      <c r="L160" s="15">
        <v>2022</v>
      </c>
      <c r="M160" s="16">
        <v>1330000</v>
      </c>
      <c r="N160" s="20">
        <v>41529</v>
      </c>
      <c r="O160" s="20">
        <v>41529</v>
      </c>
    </row>
    <row r="161" spans="1:15">
      <c r="A161" s="17">
        <v>2013</v>
      </c>
      <c r="B161" s="18" t="s">
        <v>481</v>
      </c>
      <c r="C161" s="18" t="s">
        <v>482</v>
      </c>
      <c r="D161" s="19">
        <v>3206092</v>
      </c>
      <c r="E161" s="19">
        <v>2</v>
      </c>
      <c r="F161" s="19"/>
      <c r="G161" s="19">
        <v>350</v>
      </c>
      <c r="H161" s="19">
        <v>6</v>
      </c>
      <c r="I161" s="19"/>
      <c r="J161" s="19" t="s">
        <v>27</v>
      </c>
      <c r="K161" s="19" t="b">
        <v>1</v>
      </c>
      <c r="L161" s="15">
        <v>2017</v>
      </c>
      <c r="M161" s="16">
        <v>9431000</v>
      </c>
      <c r="N161" s="20">
        <v>41529</v>
      </c>
      <c r="O161" s="20">
        <v>41529</v>
      </c>
    </row>
    <row r="162" spans="1:15">
      <c r="A162" s="17">
        <v>2013</v>
      </c>
      <c r="B162" s="18" t="s">
        <v>481</v>
      </c>
      <c r="C162" s="18" t="s">
        <v>482</v>
      </c>
      <c r="D162" s="19">
        <v>3206092</v>
      </c>
      <c r="E162" s="19">
        <v>2</v>
      </c>
      <c r="F162" s="19"/>
      <c r="G162" s="19">
        <v>580</v>
      </c>
      <c r="H162" s="19">
        <v>11.1</v>
      </c>
      <c r="I162" s="19"/>
      <c r="J162" s="19" t="s">
        <v>114</v>
      </c>
      <c r="K162" s="19" t="b">
        <v>0</v>
      </c>
      <c r="L162" s="15">
        <v>2022</v>
      </c>
      <c r="M162" s="16">
        <v>8561856</v>
      </c>
      <c r="N162" s="20">
        <v>41529</v>
      </c>
      <c r="O162" s="20">
        <v>41529</v>
      </c>
    </row>
    <row r="163" spans="1:15">
      <c r="A163" s="17">
        <v>2013</v>
      </c>
      <c r="B163" s="18" t="s">
        <v>481</v>
      </c>
      <c r="C163" s="18" t="s">
        <v>482</v>
      </c>
      <c r="D163" s="19">
        <v>3206092</v>
      </c>
      <c r="E163" s="19">
        <v>2</v>
      </c>
      <c r="F163" s="19"/>
      <c r="G163" s="19">
        <v>310</v>
      </c>
      <c r="H163" s="19">
        <v>5.0999999999999996</v>
      </c>
      <c r="I163" s="19"/>
      <c r="J163" s="19" t="s">
        <v>84</v>
      </c>
      <c r="K163" s="19" t="b">
        <v>1</v>
      </c>
      <c r="L163" s="15">
        <v>2014</v>
      </c>
      <c r="M163" s="16">
        <v>1057000</v>
      </c>
      <c r="N163" s="20">
        <v>41529</v>
      </c>
      <c r="O163" s="20">
        <v>41529</v>
      </c>
    </row>
    <row r="164" spans="1:15">
      <c r="A164" s="17">
        <v>2013</v>
      </c>
      <c r="B164" s="18" t="s">
        <v>481</v>
      </c>
      <c r="C164" s="18" t="s">
        <v>482</v>
      </c>
      <c r="D164" s="19">
        <v>3206092</v>
      </c>
      <c r="E164" s="19">
        <v>2</v>
      </c>
      <c r="F164" s="19"/>
      <c r="G164" s="19">
        <v>20</v>
      </c>
      <c r="H164" s="19">
        <v>1.1000000000000001</v>
      </c>
      <c r="I164" s="19"/>
      <c r="J164" s="19" t="s">
        <v>43</v>
      </c>
      <c r="K164" s="19" t="b">
        <v>1</v>
      </c>
      <c r="L164" s="15">
        <v>2016</v>
      </c>
      <c r="M164" s="16">
        <v>17643950</v>
      </c>
      <c r="N164" s="20">
        <v>41529</v>
      </c>
      <c r="O164" s="20">
        <v>41529</v>
      </c>
    </row>
    <row r="165" spans="1:15">
      <c r="A165" s="17">
        <v>2013</v>
      </c>
      <c r="B165" s="18" t="s">
        <v>481</v>
      </c>
      <c r="C165" s="18" t="s">
        <v>482</v>
      </c>
      <c r="D165" s="19">
        <v>3206092</v>
      </c>
      <c r="E165" s="19">
        <v>2</v>
      </c>
      <c r="F165" s="19"/>
      <c r="G165" s="19">
        <v>50</v>
      </c>
      <c r="H165" s="19" t="s">
        <v>48</v>
      </c>
      <c r="I165" s="19"/>
      <c r="J165" s="19" t="s">
        <v>49</v>
      </c>
      <c r="K165" s="19" t="b">
        <v>1</v>
      </c>
      <c r="L165" s="15">
        <v>2017</v>
      </c>
      <c r="M165" s="16">
        <v>5283000</v>
      </c>
      <c r="N165" s="20">
        <v>41529</v>
      </c>
      <c r="O165" s="20">
        <v>41529</v>
      </c>
    </row>
    <row r="166" spans="1:15">
      <c r="A166" s="17">
        <v>2013</v>
      </c>
      <c r="B166" s="18" t="s">
        <v>481</v>
      </c>
      <c r="C166" s="18" t="s">
        <v>482</v>
      </c>
      <c r="D166" s="19">
        <v>3206092</v>
      </c>
      <c r="E166" s="19">
        <v>2</v>
      </c>
      <c r="F166" s="19"/>
      <c r="G166" s="19">
        <v>270</v>
      </c>
      <c r="H166" s="19" t="s">
        <v>80</v>
      </c>
      <c r="I166" s="19"/>
      <c r="J166" s="19" t="s">
        <v>78</v>
      </c>
      <c r="K166" s="19" t="b">
        <v>1</v>
      </c>
      <c r="L166" s="15">
        <v>2013</v>
      </c>
      <c r="M166" s="16">
        <v>743000</v>
      </c>
      <c r="N166" s="20">
        <v>41529</v>
      </c>
      <c r="O166" s="20">
        <v>41529</v>
      </c>
    </row>
    <row r="167" spans="1:15">
      <c r="A167" s="17">
        <v>2013</v>
      </c>
      <c r="B167" s="18" t="s">
        <v>481</v>
      </c>
      <c r="C167" s="18" t="s">
        <v>482</v>
      </c>
      <c r="D167" s="19">
        <v>3206092</v>
      </c>
      <c r="E167" s="19">
        <v>2</v>
      </c>
      <c r="F167" s="19"/>
      <c r="G167" s="19">
        <v>50</v>
      </c>
      <c r="H167" s="19" t="s">
        <v>48</v>
      </c>
      <c r="I167" s="19"/>
      <c r="J167" s="19" t="s">
        <v>49</v>
      </c>
      <c r="K167" s="19" t="b">
        <v>1</v>
      </c>
      <c r="L167" s="15">
        <v>2015</v>
      </c>
      <c r="M167" s="16">
        <v>5240000</v>
      </c>
      <c r="N167" s="20">
        <v>41529</v>
      </c>
      <c r="O167" s="20">
        <v>41529</v>
      </c>
    </row>
    <row r="168" spans="1:15">
      <c r="A168" s="17">
        <v>2013</v>
      </c>
      <c r="B168" s="18" t="s">
        <v>481</v>
      </c>
      <c r="C168" s="18" t="s">
        <v>482</v>
      </c>
      <c r="D168" s="19">
        <v>3206092</v>
      </c>
      <c r="E168" s="19">
        <v>2</v>
      </c>
      <c r="F168" s="19"/>
      <c r="G168" s="19">
        <v>100</v>
      </c>
      <c r="H168" s="19" t="s">
        <v>57</v>
      </c>
      <c r="I168" s="19"/>
      <c r="J168" s="19" t="s">
        <v>58</v>
      </c>
      <c r="K168" s="19" t="b">
        <v>1</v>
      </c>
      <c r="L168" s="15">
        <v>2014</v>
      </c>
      <c r="M168" s="16">
        <v>300000</v>
      </c>
      <c r="N168" s="20">
        <v>41529</v>
      </c>
      <c r="O168" s="20">
        <v>41529</v>
      </c>
    </row>
    <row r="169" spans="1:15">
      <c r="A169" s="17">
        <v>2013</v>
      </c>
      <c r="B169" s="18" t="s">
        <v>481</v>
      </c>
      <c r="C169" s="18" t="s">
        <v>482</v>
      </c>
      <c r="D169" s="19">
        <v>3206092</v>
      </c>
      <c r="E169" s="19">
        <v>2</v>
      </c>
      <c r="F169" s="19"/>
      <c r="G169" s="19">
        <v>890</v>
      </c>
      <c r="H169" s="19">
        <v>14.2</v>
      </c>
      <c r="I169" s="19"/>
      <c r="J169" s="19" t="s">
        <v>155</v>
      </c>
      <c r="K169" s="19" t="b">
        <v>1</v>
      </c>
      <c r="L169" s="15">
        <v>2014</v>
      </c>
      <c r="M169" s="16">
        <v>9850</v>
      </c>
      <c r="N169" s="20">
        <v>41529</v>
      </c>
      <c r="O169" s="20">
        <v>41529</v>
      </c>
    </row>
    <row r="170" spans="1:15">
      <c r="A170" s="17">
        <v>2013</v>
      </c>
      <c r="B170" s="18" t="s">
        <v>481</v>
      </c>
      <c r="C170" s="18" t="s">
        <v>482</v>
      </c>
      <c r="D170" s="19">
        <v>3206092</v>
      </c>
      <c r="E170" s="19">
        <v>2</v>
      </c>
      <c r="F170" s="19"/>
      <c r="G170" s="19">
        <v>620</v>
      </c>
      <c r="H170" s="19" t="s">
        <v>119</v>
      </c>
      <c r="I170" s="19"/>
      <c r="J170" s="19" t="s">
        <v>120</v>
      </c>
      <c r="K170" s="19" t="b">
        <v>1</v>
      </c>
      <c r="L170" s="15">
        <v>2015</v>
      </c>
      <c r="M170" s="16">
        <v>10456</v>
      </c>
      <c r="N170" s="20">
        <v>41529</v>
      </c>
      <c r="O170" s="20">
        <v>41529</v>
      </c>
    </row>
    <row r="171" spans="1:15">
      <c r="A171" s="17">
        <v>2013</v>
      </c>
      <c r="B171" s="18" t="s">
        <v>481</v>
      </c>
      <c r="C171" s="18" t="s">
        <v>482</v>
      </c>
      <c r="D171" s="19">
        <v>3206092</v>
      </c>
      <c r="E171" s="19">
        <v>2</v>
      </c>
      <c r="F171" s="19"/>
      <c r="G171" s="19">
        <v>120</v>
      </c>
      <c r="H171" s="19">
        <v>2</v>
      </c>
      <c r="I171" s="19" t="s">
        <v>496</v>
      </c>
      <c r="J171" s="19" t="s">
        <v>21</v>
      </c>
      <c r="K171" s="19" t="b">
        <v>0</v>
      </c>
      <c r="L171" s="15">
        <v>2013</v>
      </c>
      <c r="M171" s="16">
        <v>20320889.75</v>
      </c>
      <c r="N171" s="20">
        <v>41529</v>
      </c>
      <c r="O171" s="20">
        <v>41529</v>
      </c>
    </row>
    <row r="172" spans="1:15">
      <c r="A172" s="17">
        <v>2013</v>
      </c>
      <c r="B172" s="18" t="s">
        <v>481</v>
      </c>
      <c r="C172" s="18" t="s">
        <v>482</v>
      </c>
      <c r="D172" s="19">
        <v>3206092</v>
      </c>
      <c r="E172" s="19">
        <v>2</v>
      </c>
      <c r="F172" s="19"/>
      <c r="G172" s="19">
        <v>590</v>
      </c>
      <c r="H172" s="19">
        <v>11.2</v>
      </c>
      <c r="I172" s="19"/>
      <c r="J172" s="19" t="s">
        <v>115</v>
      </c>
      <c r="K172" s="19" t="b">
        <v>1</v>
      </c>
      <c r="L172" s="15">
        <v>2017</v>
      </c>
      <c r="M172" s="16">
        <v>3400000</v>
      </c>
      <c r="N172" s="20">
        <v>41529</v>
      </c>
      <c r="O172" s="20">
        <v>41529</v>
      </c>
    </row>
    <row r="173" spans="1:15">
      <c r="A173" s="17">
        <v>2013</v>
      </c>
      <c r="B173" s="18" t="s">
        <v>481</v>
      </c>
      <c r="C173" s="18" t="s">
        <v>482</v>
      </c>
      <c r="D173" s="19">
        <v>3206092</v>
      </c>
      <c r="E173" s="19">
        <v>2</v>
      </c>
      <c r="F173" s="19"/>
      <c r="G173" s="19">
        <v>170</v>
      </c>
      <c r="H173" s="19" t="s">
        <v>68</v>
      </c>
      <c r="I173" s="19"/>
      <c r="J173" s="19" t="s">
        <v>69</v>
      </c>
      <c r="K173" s="19" t="b">
        <v>1</v>
      </c>
      <c r="L173" s="15">
        <v>2021</v>
      </c>
      <c r="M173" s="16">
        <v>335000</v>
      </c>
      <c r="N173" s="20">
        <v>41529</v>
      </c>
      <c r="O173" s="20">
        <v>41529</v>
      </c>
    </row>
    <row r="174" spans="1:15">
      <c r="A174" s="17">
        <v>2013</v>
      </c>
      <c r="B174" s="18" t="s">
        <v>481</v>
      </c>
      <c r="C174" s="18" t="s">
        <v>482</v>
      </c>
      <c r="D174" s="19">
        <v>3206092</v>
      </c>
      <c r="E174" s="19">
        <v>2</v>
      </c>
      <c r="F174" s="19"/>
      <c r="G174" s="19">
        <v>50</v>
      </c>
      <c r="H174" s="19" t="s">
        <v>48</v>
      </c>
      <c r="I174" s="19"/>
      <c r="J174" s="19" t="s">
        <v>49</v>
      </c>
      <c r="K174" s="19" t="b">
        <v>1</v>
      </c>
      <c r="L174" s="15">
        <v>2020</v>
      </c>
      <c r="M174" s="16">
        <v>5773000</v>
      </c>
      <c r="N174" s="20">
        <v>41529</v>
      </c>
      <c r="O174" s="20">
        <v>41529</v>
      </c>
    </row>
    <row r="175" spans="1:15">
      <c r="A175" s="17">
        <v>2013</v>
      </c>
      <c r="B175" s="18" t="s">
        <v>481</v>
      </c>
      <c r="C175" s="18" t="s">
        <v>482</v>
      </c>
      <c r="D175" s="19">
        <v>3206092</v>
      </c>
      <c r="E175" s="19">
        <v>2</v>
      </c>
      <c r="F175" s="19"/>
      <c r="G175" s="19">
        <v>170</v>
      </c>
      <c r="H175" s="19" t="s">
        <v>68</v>
      </c>
      <c r="I175" s="19"/>
      <c r="J175" s="19" t="s">
        <v>69</v>
      </c>
      <c r="K175" s="19" t="b">
        <v>1</v>
      </c>
      <c r="L175" s="15">
        <v>2015</v>
      </c>
      <c r="M175" s="16">
        <v>645000</v>
      </c>
      <c r="N175" s="20">
        <v>41529</v>
      </c>
      <c r="O175" s="20">
        <v>41529</v>
      </c>
    </row>
    <row r="176" spans="1:15">
      <c r="A176" s="17">
        <v>2013</v>
      </c>
      <c r="B176" s="18" t="s">
        <v>481</v>
      </c>
      <c r="C176" s="18" t="s">
        <v>482</v>
      </c>
      <c r="D176" s="19">
        <v>3206092</v>
      </c>
      <c r="E176" s="19">
        <v>2</v>
      </c>
      <c r="F176" s="19"/>
      <c r="G176" s="19">
        <v>80</v>
      </c>
      <c r="H176" s="19" t="s">
        <v>54</v>
      </c>
      <c r="I176" s="19"/>
      <c r="J176" s="19" t="s">
        <v>55</v>
      </c>
      <c r="K176" s="19" t="b">
        <v>1</v>
      </c>
      <c r="L176" s="15">
        <v>2017</v>
      </c>
      <c r="M176" s="16">
        <v>4500000</v>
      </c>
      <c r="N176" s="20">
        <v>41529</v>
      </c>
      <c r="O176" s="20">
        <v>41529</v>
      </c>
    </row>
    <row r="177" spans="1:15">
      <c r="A177" s="17">
        <v>2013</v>
      </c>
      <c r="B177" s="18" t="s">
        <v>481</v>
      </c>
      <c r="C177" s="18" t="s">
        <v>482</v>
      </c>
      <c r="D177" s="19">
        <v>3206092</v>
      </c>
      <c r="E177" s="19">
        <v>2</v>
      </c>
      <c r="F177" s="19"/>
      <c r="G177" s="19">
        <v>505</v>
      </c>
      <c r="H177" s="19" t="s">
        <v>103</v>
      </c>
      <c r="I177" s="19" t="s">
        <v>485</v>
      </c>
      <c r="J177" s="19" t="s">
        <v>104</v>
      </c>
      <c r="K177" s="19" t="b">
        <v>0</v>
      </c>
      <c r="L177" s="15">
        <v>2018</v>
      </c>
      <c r="M177" s="16">
        <v>9.7299999999999998E-2</v>
      </c>
      <c r="N177" s="20">
        <v>41529</v>
      </c>
      <c r="O177" s="20">
        <v>41529</v>
      </c>
    </row>
    <row r="178" spans="1:15">
      <c r="A178" s="17">
        <v>2013</v>
      </c>
      <c r="B178" s="18" t="s">
        <v>481</v>
      </c>
      <c r="C178" s="18" t="s">
        <v>482</v>
      </c>
      <c r="D178" s="19">
        <v>3206092</v>
      </c>
      <c r="E178" s="19">
        <v>2</v>
      </c>
      <c r="F178" s="19"/>
      <c r="G178" s="19">
        <v>350</v>
      </c>
      <c r="H178" s="19">
        <v>6</v>
      </c>
      <c r="I178" s="19"/>
      <c r="J178" s="19" t="s">
        <v>27</v>
      </c>
      <c r="K178" s="19" t="b">
        <v>1</v>
      </c>
      <c r="L178" s="15">
        <v>2013</v>
      </c>
      <c r="M178" s="16">
        <v>11607700</v>
      </c>
      <c r="N178" s="20">
        <v>41529</v>
      </c>
      <c r="O178" s="20">
        <v>41529</v>
      </c>
    </row>
    <row r="179" spans="1:15">
      <c r="A179" s="17">
        <v>2013</v>
      </c>
      <c r="B179" s="18" t="s">
        <v>481</v>
      </c>
      <c r="C179" s="18" t="s">
        <v>482</v>
      </c>
      <c r="D179" s="19">
        <v>3206092</v>
      </c>
      <c r="E179" s="19">
        <v>2</v>
      </c>
      <c r="F179" s="19"/>
      <c r="G179" s="19">
        <v>70</v>
      </c>
      <c r="H179" s="19" t="s">
        <v>52</v>
      </c>
      <c r="I179" s="19"/>
      <c r="J179" s="19" t="s">
        <v>53</v>
      </c>
      <c r="K179" s="19" t="b">
        <v>1</v>
      </c>
      <c r="L179" s="15">
        <v>2025</v>
      </c>
      <c r="M179" s="16">
        <v>8141000</v>
      </c>
      <c r="N179" s="20">
        <v>41529</v>
      </c>
      <c r="O179" s="20">
        <v>41529</v>
      </c>
    </row>
    <row r="180" spans="1:15">
      <c r="A180" s="17">
        <v>2013</v>
      </c>
      <c r="B180" s="18" t="s">
        <v>481</v>
      </c>
      <c r="C180" s="18" t="s">
        <v>482</v>
      </c>
      <c r="D180" s="19">
        <v>3206092</v>
      </c>
      <c r="E180" s="19">
        <v>2</v>
      </c>
      <c r="F180" s="19"/>
      <c r="G180" s="19">
        <v>40</v>
      </c>
      <c r="H180" s="19" t="s">
        <v>46</v>
      </c>
      <c r="I180" s="19"/>
      <c r="J180" s="19" t="s">
        <v>47</v>
      </c>
      <c r="K180" s="19" t="b">
        <v>1</v>
      </c>
      <c r="L180" s="15">
        <v>2013</v>
      </c>
      <c r="M180" s="16">
        <v>5000</v>
      </c>
      <c r="N180" s="20">
        <v>41529</v>
      </c>
      <c r="O180" s="20">
        <v>41529</v>
      </c>
    </row>
    <row r="181" spans="1:15">
      <c r="A181" s="17">
        <v>2013</v>
      </c>
      <c r="B181" s="18" t="s">
        <v>481</v>
      </c>
      <c r="C181" s="18" t="s">
        <v>482</v>
      </c>
      <c r="D181" s="19">
        <v>3206092</v>
      </c>
      <c r="E181" s="19">
        <v>2</v>
      </c>
      <c r="F181" s="19"/>
      <c r="G181" s="19">
        <v>420</v>
      </c>
      <c r="H181" s="19">
        <v>8.1</v>
      </c>
      <c r="I181" s="19" t="s">
        <v>494</v>
      </c>
      <c r="J181" s="19" t="s">
        <v>96</v>
      </c>
      <c r="K181" s="19" t="b">
        <v>0</v>
      </c>
      <c r="L181" s="15">
        <v>2016</v>
      </c>
      <c r="M181" s="16">
        <v>1297417</v>
      </c>
      <c r="N181" s="20">
        <v>41529</v>
      </c>
      <c r="O181" s="20">
        <v>41529</v>
      </c>
    </row>
    <row r="182" spans="1:15">
      <c r="A182" s="17">
        <v>2013</v>
      </c>
      <c r="B182" s="18" t="s">
        <v>481</v>
      </c>
      <c r="C182" s="18" t="s">
        <v>482</v>
      </c>
      <c r="D182" s="19">
        <v>3206092</v>
      </c>
      <c r="E182" s="19">
        <v>2</v>
      </c>
      <c r="F182" s="19"/>
      <c r="G182" s="19">
        <v>520</v>
      </c>
      <c r="H182" s="19" t="s">
        <v>106</v>
      </c>
      <c r="I182" s="19"/>
      <c r="J182" s="19" t="s">
        <v>493</v>
      </c>
      <c r="K182" s="19" t="b">
        <v>1</v>
      </c>
      <c r="L182" s="15">
        <v>2021</v>
      </c>
      <c r="M182" s="16">
        <v>9.0200000000000002E-2</v>
      </c>
      <c r="N182" s="20">
        <v>41529</v>
      </c>
      <c r="O182" s="20">
        <v>41529</v>
      </c>
    </row>
    <row r="183" spans="1:15">
      <c r="A183" s="17">
        <v>2013</v>
      </c>
      <c r="B183" s="18" t="s">
        <v>481</v>
      </c>
      <c r="C183" s="18" t="s">
        <v>482</v>
      </c>
      <c r="D183" s="19">
        <v>3206092</v>
      </c>
      <c r="E183" s="19">
        <v>2</v>
      </c>
      <c r="F183" s="19"/>
      <c r="G183" s="19">
        <v>530</v>
      </c>
      <c r="H183" s="19">
        <v>9.8000000000000007</v>
      </c>
      <c r="I183" s="19" t="s">
        <v>486</v>
      </c>
      <c r="J183" s="19" t="s">
        <v>108</v>
      </c>
      <c r="K183" s="19" t="b">
        <v>0</v>
      </c>
      <c r="L183" s="15">
        <v>2013</v>
      </c>
      <c r="M183" s="16">
        <v>-1356</v>
      </c>
      <c r="N183" s="20">
        <v>41529</v>
      </c>
      <c r="O183" s="20">
        <v>41529</v>
      </c>
    </row>
    <row r="184" spans="1:15">
      <c r="A184" s="17">
        <v>2013</v>
      </c>
      <c r="B184" s="18" t="s">
        <v>481</v>
      </c>
      <c r="C184" s="18" t="s">
        <v>482</v>
      </c>
      <c r="D184" s="19">
        <v>3206092</v>
      </c>
      <c r="E184" s="19">
        <v>2</v>
      </c>
      <c r="F184" s="19"/>
      <c r="G184" s="19">
        <v>900</v>
      </c>
      <c r="H184" s="19">
        <v>14.3</v>
      </c>
      <c r="I184" s="19"/>
      <c r="J184" s="19" t="s">
        <v>156</v>
      </c>
      <c r="K184" s="19" t="b">
        <v>1</v>
      </c>
      <c r="L184" s="15">
        <v>2013</v>
      </c>
      <c r="M184" s="16">
        <v>29850</v>
      </c>
      <c r="N184" s="20">
        <v>41529</v>
      </c>
      <c r="O184" s="20">
        <v>41529</v>
      </c>
    </row>
    <row r="185" spans="1:15">
      <c r="A185" s="17">
        <v>2013</v>
      </c>
      <c r="B185" s="18" t="s">
        <v>481</v>
      </c>
      <c r="C185" s="18" t="s">
        <v>482</v>
      </c>
      <c r="D185" s="19">
        <v>3206092</v>
      </c>
      <c r="E185" s="19">
        <v>2</v>
      </c>
      <c r="F185" s="19"/>
      <c r="G185" s="19">
        <v>30</v>
      </c>
      <c r="H185" s="19" t="s">
        <v>44</v>
      </c>
      <c r="I185" s="19"/>
      <c r="J185" s="19" t="s">
        <v>45</v>
      </c>
      <c r="K185" s="19" t="b">
        <v>1</v>
      </c>
      <c r="L185" s="15">
        <v>2013</v>
      </c>
      <c r="M185" s="16">
        <v>1464627</v>
      </c>
      <c r="N185" s="20">
        <v>41529</v>
      </c>
      <c r="O185" s="20">
        <v>41529</v>
      </c>
    </row>
    <row r="186" spans="1:15">
      <c r="A186" s="17">
        <v>2013</v>
      </c>
      <c r="B186" s="18" t="s">
        <v>481</v>
      </c>
      <c r="C186" s="18" t="s">
        <v>482</v>
      </c>
      <c r="D186" s="19">
        <v>3206092</v>
      </c>
      <c r="E186" s="19">
        <v>2</v>
      </c>
      <c r="F186" s="19"/>
      <c r="G186" s="19">
        <v>450</v>
      </c>
      <c r="H186" s="19">
        <v>9.1</v>
      </c>
      <c r="I186" s="19" t="s">
        <v>489</v>
      </c>
      <c r="J186" s="19" t="s">
        <v>98</v>
      </c>
      <c r="K186" s="19" t="b">
        <v>1</v>
      </c>
      <c r="L186" s="15">
        <v>2025</v>
      </c>
      <c r="M186" s="16">
        <v>3.56E-2</v>
      </c>
      <c r="N186" s="20">
        <v>41529</v>
      </c>
      <c r="O186" s="20">
        <v>41529</v>
      </c>
    </row>
    <row r="187" spans="1:15">
      <c r="A187" s="17">
        <v>2013</v>
      </c>
      <c r="B187" s="18" t="s">
        <v>481</v>
      </c>
      <c r="C187" s="18" t="s">
        <v>482</v>
      </c>
      <c r="D187" s="19">
        <v>3206092</v>
      </c>
      <c r="E187" s="19">
        <v>2</v>
      </c>
      <c r="F187" s="19"/>
      <c r="G187" s="19">
        <v>500</v>
      </c>
      <c r="H187" s="19">
        <v>9.6</v>
      </c>
      <c r="I187" s="19" t="s">
        <v>488</v>
      </c>
      <c r="J187" s="19" t="s">
        <v>102</v>
      </c>
      <c r="K187" s="19" t="b">
        <v>0</v>
      </c>
      <c r="L187" s="15">
        <v>2013</v>
      </c>
      <c r="M187" s="16">
        <v>0.126</v>
      </c>
      <c r="N187" s="20">
        <v>41529</v>
      </c>
      <c r="O187" s="20">
        <v>41529</v>
      </c>
    </row>
    <row r="188" spans="1:15">
      <c r="A188" s="17">
        <v>2013</v>
      </c>
      <c r="B188" s="18" t="s">
        <v>481</v>
      </c>
      <c r="C188" s="18" t="s">
        <v>482</v>
      </c>
      <c r="D188" s="19">
        <v>3206092</v>
      </c>
      <c r="E188" s="19">
        <v>2</v>
      </c>
      <c r="F188" s="19"/>
      <c r="G188" s="19">
        <v>390</v>
      </c>
      <c r="H188" s="19">
        <v>6.3</v>
      </c>
      <c r="I188" s="19" t="s">
        <v>498</v>
      </c>
      <c r="J188" s="19" t="s">
        <v>94</v>
      </c>
      <c r="K188" s="19" t="b">
        <v>0</v>
      </c>
      <c r="L188" s="15">
        <v>2017</v>
      </c>
      <c r="M188" s="16">
        <v>0.5171</v>
      </c>
      <c r="N188" s="20">
        <v>41529</v>
      </c>
      <c r="O188" s="20">
        <v>41529</v>
      </c>
    </row>
    <row r="189" spans="1:15">
      <c r="A189" s="17">
        <v>2013</v>
      </c>
      <c r="B189" s="18" t="s">
        <v>481</v>
      </c>
      <c r="C189" s="18" t="s">
        <v>482</v>
      </c>
      <c r="D189" s="19">
        <v>3206092</v>
      </c>
      <c r="E189" s="19">
        <v>2</v>
      </c>
      <c r="F189" s="19"/>
      <c r="G189" s="19">
        <v>320</v>
      </c>
      <c r="H189" s="19" t="s">
        <v>85</v>
      </c>
      <c r="I189" s="19"/>
      <c r="J189" s="19" t="s">
        <v>501</v>
      </c>
      <c r="K189" s="19" t="b">
        <v>1</v>
      </c>
      <c r="L189" s="15">
        <v>2013</v>
      </c>
      <c r="M189" s="16">
        <v>460716</v>
      </c>
      <c r="N189" s="20">
        <v>41529</v>
      </c>
      <c r="O189" s="20">
        <v>41529</v>
      </c>
    </row>
    <row r="190" spans="1:15">
      <c r="A190" s="17">
        <v>2013</v>
      </c>
      <c r="B190" s="18" t="s">
        <v>481</v>
      </c>
      <c r="C190" s="18" t="s">
        <v>482</v>
      </c>
      <c r="D190" s="19">
        <v>3206092</v>
      </c>
      <c r="E190" s="19">
        <v>2</v>
      </c>
      <c r="F190" s="19"/>
      <c r="G190" s="19">
        <v>760</v>
      </c>
      <c r="H190" s="19">
        <v>12.4</v>
      </c>
      <c r="I190" s="19"/>
      <c r="J190" s="19" t="s">
        <v>140</v>
      </c>
      <c r="K190" s="19" t="b">
        <v>1</v>
      </c>
      <c r="L190" s="15">
        <v>2014</v>
      </c>
      <c r="M190" s="16">
        <v>1852242</v>
      </c>
      <c r="N190" s="20">
        <v>41529</v>
      </c>
      <c r="O190" s="20">
        <v>41529</v>
      </c>
    </row>
    <row r="191" spans="1:15">
      <c r="A191" s="17">
        <v>2013</v>
      </c>
      <c r="B191" s="18" t="s">
        <v>481</v>
      </c>
      <c r="C191" s="18" t="s">
        <v>482</v>
      </c>
      <c r="D191" s="19">
        <v>3206092</v>
      </c>
      <c r="E191" s="19">
        <v>2</v>
      </c>
      <c r="F191" s="19"/>
      <c r="G191" s="19">
        <v>540</v>
      </c>
      <c r="H191" s="19" t="s">
        <v>109</v>
      </c>
      <c r="I191" s="19" t="s">
        <v>499</v>
      </c>
      <c r="J191" s="19" t="s">
        <v>110</v>
      </c>
      <c r="K191" s="19" t="b">
        <v>0</v>
      </c>
      <c r="L191" s="15">
        <v>2018</v>
      </c>
      <c r="M191" s="16">
        <v>255</v>
      </c>
      <c r="N191" s="20">
        <v>41529</v>
      </c>
      <c r="O191" s="20">
        <v>41529</v>
      </c>
    </row>
    <row r="192" spans="1:15">
      <c r="A192" s="17">
        <v>2013</v>
      </c>
      <c r="B192" s="18" t="s">
        <v>481</v>
      </c>
      <c r="C192" s="18" t="s">
        <v>482</v>
      </c>
      <c r="D192" s="19">
        <v>3206092</v>
      </c>
      <c r="E192" s="19">
        <v>2</v>
      </c>
      <c r="F192" s="19"/>
      <c r="G192" s="19">
        <v>30</v>
      </c>
      <c r="H192" s="19" t="s">
        <v>44</v>
      </c>
      <c r="I192" s="19"/>
      <c r="J192" s="19" t="s">
        <v>45</v>
      </c>
      <c r="K192" s="19" t="b">
        <v>1</v>
      </c>
      <c r="L192" s="15">
        <v>2023</v>
      </c>
      <c r="M192" s="16">
        <v>1881000</v>
      </c>
      <c r="N192" s="20">
        <v>41529</v>
      </c>
      <c r="O192" s="20">
        <v>41529</v>
      </c>
    </row>
    <row r="193" spans="1:15">
      <c r="A193" s="17">
        <v>2013</v>
      </c>
      <c r="B193" s="18" t="s">
        <v>481</v>
      </c>
      <c r="C193" s="18" t="s">
        <v>482</v>
      </c>
      <c r="D193" s="19">
        <v>3206092</v>
      </c>
      <c r="E193" s="19">
        <v>2</v>
      </c>
      <c r="F193" s="19"/>
      <c r="G193" s="19">
        <v>180</v>
      </c>
      <c r="H193" s="19" t="s">
        <v>70</v>
      </c>
      <c r="I193" s="19"/>
      <c r="J193" s="19" t="s">
        <v>71</v>
      </c>
      <c r="K193" s="19" t="b">
        <v>0</v>
      </c>
      <c r="L193" s="15">
        <v>2024</v>
      </c>
      <c r="M193" s="16">
        <v>93000</v>
      </c>
      <c r="N193" s="20">
        <v>41529</v>
      </c>
      <c r="O193" s="20">
        <v>41529</v>
      </c>
    </row>
    <row r="194" spans="1:15">
      <c r="A194" s="17">
        <v>2013</v>
      </c>
      <c r="B194" s="18" t="s">
        <v>481</v>
      </c>
      <c r="C194" s="18" t="s">
        <v>482</v>
      </c>
      <c r="D194" s="19">
        <v>3206092</v>
      </c>
      <c r="E194" s="19">
        <v>2</v>
      </c>
      <c r="F194" s="19"/>
      <c r="G194" s="19">
        <v>500</v>
      </c>
      <c r="H194" s="19">
        <v>9.6</v>
      </c>
      <c r="I194" s="19" t="s">
        <v>488</v>
      </c>
      <c r="J194" s="19" t="s">
        <v>102</v>
      </c>
      <c r="K194" s="19" t="b">
        <v>0</v>
      </c>
      <c r="L194" s="15">
        <v>2018</v>
      </c>
      <c r="M194" s="16">
        <v>6.0400000000000002E-2</v>
      </c>
      <c r="N194" s="20">
        <v>41529</v>
      </c>
      <c r="O194" s="20">
        <v>41529</v>
      </c>
    </row>
    <row r="195" spans="1:15">
      <c r="A195" s="17">
        <v>2013</v>
      </c>
      <c r="B195" s="18" t="s">
        <v>481</v>
      </c>
      <c r="C195" s="18" t="s">
        <v>482</v>
      </c>
      <c r="D195" s="19">
        <v>3206092</v>
      </c>
      <c r="E195" s="19">
        <v>2</v>
      </c>
      <c r="F195" s="19"/>
      <c r="G195" s="19">
        <v>450</v>
      </c>
      <c r="H195" s="19">
        <v>9.1</v>
      </c>
      <c r="I195" s="19" t="s">
        <v>489</v>
      </c>
      <c r="J195" s="19" t="s">
        <v>98</v>
      </c>
      <c r="K195" s="19" t="b">
        <v>1</v>
      </c>
      <c r="L195" s="15">
        <v>2013</v>
      </c>
      <c r="M195" s="16">
        <v>0.1502</v>
      </c>
      <c r="N195" s="20">
        <v>41529</v>
      </c>
      <c r="O195" s="20">
        <v>41529</v>
      </c>
    </row>
    <row r="196" spans="1:15">
      <c r="A196" s="17">
        <v>2013</v>
      </c>
      <c r="B196" s="18" t="s">
        <v>481</v>
      </c>
      <c r="C196" s="18" t="s">
        <v>482</v>
      </c>
      <c r="D196" s="19">
        <v>3206092</v>
      </c>
      <c r="E196" s="19">
        <v>2</v>
      </c>
      <c r="F196" s="19"/>
      <c r="G196" s="19">
        <v>560</v>
      </c>
      <c r="H196" s="19">
        <v>10.1</v>
      </c>
      <c r="I196" s="19"/>
      <c r="J196" s="19" t="s">
        <v>112</v>
      </c>
      <c r="K196" s="19" t="b">
        <v>0</v>
      </c>
      <c r="L196" s="15">
        <v>2023</v>
      </c>
      <c r="M196" s="16">
        <v>1510000</v>
      </c>
      <c r="N196" s="20">
        <v>41529</v>
      </c>
      <c r="O196" s="20">
        <v>41529</v>
      </c>
    </row>
    <row r="197" spans="1:15">
      <c r="A197" s="17">
        <v>2013</v>
      </c>
      <c r="B197" s="18" t="s">
        <v>481</v>
      </c>
      <c r="C197" s="18" t="s">
        <v>482</v>
      </c>
      <c r="D197" s="19">
        <v>3206092</v>
      </c>
      <c r="E197" s="19">
        <v>2</v>
      </c>
      <c r="F197" s="19"/>
      <c r="G197" s="19">
        <v>620</v>
      </c>
      <c r="H197" s="19" t="s">
        <v>119</v>
      </c>
      <c r="I197" s="19"/>
      <c r="J197" s="19" t="s">
        <v>120</v>
      </c>
      <c r="K197" s="19" t="b">
        <v>1</v>
      </c>
      <c r="L197" s="15">
        <v>2014</v>
      </c>
      <c r="M197" s="16">
        <v>1933304</v>
      </c>
      <c r="N197" s="20">
        <v>41529</v>
      </c>
      <c r="O197" s="20">
        <v>41529</v>
      </c>
    </row>
    <row r="198" spans="1:15">
      <c r="A198" s="17">
        <v>2013</v>
      </c>
      <c r="B198" s="18" t="s">
        <v>481</v>
      </c>
      <c r="C198" s="18" t="s">
        <v>482</v>
      </c>
      <c r="D198" s="19">
        <v>3206092</v>
      </c>
      <c r="E198" s="19">
        <v>2</v>
      </c>
      <c r="F198" s="19"/>
      <c r="G198" s="19">
        <v>250</v>
      </c>
      <c r="H198" s="19" t="s">
        <v>77</v>
      </c>
      <c r="I198" s="19"/>
      <c r="J198" s="19" t="s">
        <v>78</v>
      </c>
      <c r="K198" s="19" t="b">
        <v>0</v>
      </c>
      <c r="L198" s="15">
        <v>2013</v>
      </c>
      <c r="M198" s="16">
        <v>504000</v>
      </c>
      <c r="N198" s="20">
        <v>41529</v>
      </c>
      <c r="O198" s="20">
        <v>41529</v>
      </c>
    </row>
    <row r="199" spans="1:15">
      <c r="A199" s="17">
        <v>2013</v>
      </c>
      <c r="B199" s="18" t="s">
        <v>481</v>
      </c>
      <c r="C199" s="18" t="s">
        <v>482</v>
      </c>
      <c r="D199" s="19">
        <v>3206092</v>
      </c>
      <c r="E199" s="19">
        <v>2</v>
      </c>
      <c r="F199" s="19"/>
      <c r="G199" s="19">
        <v>480</v>
      </c>
      <c r="H199" s="19">
        <v>9.4</v>
      </c>
      <c r="I199" s="19" t="s">
        <v>487</v>
      </c>
      <c r="J199" s="19" t="s">
        <v>100</v>
      </c>
      <c r="K199" s="19" t="b">
        <v>0</v>
      </c>
      <c r="L199" s="15">
        <v>2022</v>
      </c>
      <c r="M199" s="16">
        <v>7.9899999999999999E-2</v>
      </c>
      <c r="N199" s="20">
        <v>41529</v>
      </c>
      <c r="O199" s="20">
        <v>41529</v>
      </c>
    </row>
    <row r="200" spans="1:15">
      <c r="A200" s="17">
        <v>2013</v>
      </c>
      <c r="B200" s="18" t="s">
        <v>481</v>
      </c>
      <c r="C200" s="18" t="s">
        <v>482</v>
      </c>
      <c r="D200" s="19">
        <v>3206092</v>
      </c>
      <c r="E200" s="19">
        <v>2</v>
      </c>
      <c r="F200" s="19"/>
      <c r="G200" s="19">
        <v>80</v>
      </c>
      <c r="H200" s="19" t="s">
        <v>54</v>
      </c>
      <c r="I200" s="19"/>
      <c r="J200" s="19" t="s">
        <v>55</v>
      </c>
      <c r="K200" s="19" t="b">
        <v>1</v>
      </c>
      <c r="L200" s="15">
        <v>2021</v>
      </c>
      <c r="M200" s="16">
        <v>4090000</v>
      </c>
      <c r="N200" s="20">
        <v>41529</v>
      </c>
      <c r="O200" s="20">
        <v>41529</v>
      </c>
    </row>
    <row r="201" spans="1:15">
      <c r="A201" s="17">
        <v>2013</v>
      </c>
      <c r="B201" s="18" t="s">
        <v>481</v>
      </c>
      <c r="C201" s="18" t="s">
        <v>482</v>
      </c>
      <c r="D201" s="19">
        <v>3206092</v>
      </c>
      <c r="E201" s="19">
        <v>2</v>
      </c>
      <c r="F201" s="19"/>
      <c r="G201" s="19">
        <v>380</v>
      </c>
      <c r="H201" s="19">
        <v>6.2</v>
      </c>
      <c r="I201" s="19" t="s">
        <v>495</v>
      </c>
      <c r="J201" s="19" t="s">
        <v>93</v>
      </c>
      <c r="K201" s="19" t="b">
        <v>0</v>
      </c>
      <c r="L201" s="15">
        <v>2015</v>
      </c>
      <c r="M201" s="16">
        <v>0.5927</v>
      </c>
      <c r="N201" s="20">
        <v>41529</v>
      </c>
      <c r="O201" s="20">
        <v>41529</v>
      </c>
    </row>
    <row r="202" spans="1:15">
      <c r="A202" s="17">
        <v>2013</v>
      </c>
      <c r="B202" s="18" t="s">
        <v>481</v>
      </c>
      <c r="C202" s="18" t="s">
        <v>482</v>
      </c>
      <c r="D202" s="19">
        <v>3206092</v>
      </c>
      <c r="E202" s="19">
        <v>2</v>
      </c>
      <c r="F202" s="19"/>
      <c r="G202" s="19">
        <v>470</v>
      </c>
      <c r="H202" s="19">
        <v>9.3000000000000007</v>
      </c>
      <c r="I202" s="19" t="s">
        <v>489</v>
      </c>
      <c r="J202" s="19" t="s">
        <v>490</v>
      </c>
      <c r="K202" s="19" t="b">
        <v>1</v>
      </c>
      <c r="L202" s="15">
        <v>2025</v>
      </c>
      <c r="M202" s="16">
        <v>3.56E-2</v>
      </c>
      <c r="N202" s="20">
        <v>41529</v>
      </c>
      <c r="O202" s="20">
        <v>41529</v>
      </c>
    </row>
    <row r="203" spans="1:15">
      <c r="A203" s="17">
        <v>2013</v>
      </c>
      <c r="B203" s="18" t="s">
        <v>481</v>
      </c>
      <c r="C203" s="18" t="s">
        <v>482</v>
      </c>
      <c r="D203" s="19">
        <v>3206092</v>
      </c>
      <c r="E203" s="19">
        <v>2</v>
      </c>
      <c r="F203" s="19"/>
      <c r="G203" s="19">
        <v>70</v>
      </c>
      <c r="H203" s="19" t="s">
        <v>52</v>
      </c>
      <c r="I203" s="19"/>
      <c r="J203" s="19" t="s">
        <v>53</v>
      </c>
      <c r="K203" s="19" t="b">
        <v>1</v>
      </c>
      <c r="L203" s="15">
        <v>2013</v>
      </c>
      <c r="M203" s="16">
        <v>6023919</v>
      </c>
      <c r="N203" s="20">
        <v>41529</v>
      </c>
      <c r="O203" s="20">
        <v>41529</v>
      </c>
    </row>
    <row r="204" spans="1:15">
      <c r="A204" s="17">
        <v>2013</v>
      </c>
      <c r="B204" s="18" t="s">
        <v>481</v>
      </c>
      <c r="C204" s="18" t="s">
        <v>482</v>
      </c>
      <c r="D204" s="19">
        <v>3206092</v>
      </c>
      <c r="E204" s="19">
        <v>2</v>
      </c>
      <c r="F204" s="19"/>
      <c r="G204" s="19">
        <v>10</v>
      </c>
      <c r="H204" s="19">
        <v>1</v>
      </c>
      <c r="I204" s="19" t="s">
        <v>491</v>
      </c>
      <c r="J204" s="19" t="s">
        <v>26</v>
      </c>
      <c r="K204" s="19" t="b">
        <v>1</v>
      </c>
      <c r="L204" s="15">
        <v>2023</v>
      </c>
      <c r="M204" s="16">
        <v>20523984</v>
      </c>
      <c r="N204" s="20">
        <v>41529</v>
      </c>
      <c r="O204" s="20">
        <v>41529</v>
      </c>
    </row>
    <row r="205" spans="1:15">
      <c r="A205" s="17">
        <v>2013</v>
      </c>
      <c r="B205" s="18" t="s">
        <v>481</v>
      </c>
      <c r="C205" s="18" t="s">
        <v>482</v>
      </c>
      <c r="D205" s="19">
        <v>3206092</v>
      </c>
      <c r="E205" s="19">
        <v>2</v>
      </c>
      <c r="F205" s="19"/>
      <c r="G205" s="19">
        <v>550</v>
      </c>
      <c r="H205" s="19">
        <v>10</v>
      </c>
      <c r="I205" s="19"/>
      <c r="J205" s="19" t="s">
        <v>111</v>
      </c>
      <c r="K205" s="19" t="b">
        <v>0</v>
      </c>
      <c r="L205" s="15">
        <v>2014</v>
      </c>
      <c r="M205" s="16">
        <v>1057000</v>
      </c>
      <c r="N205" s="20">
        <v>41529</v>
      </c>
      <c r="O205" s="20">
        <v>41529</v>
      </c>
    </row>
    <row r="206" spans="1:15">
      <c r="A206" s="17">
        <v>2013</v>
      </c>
      <c r="B206" s="18" t="s">
        <v>481</v>
      </c>
      <c r="C206" s="18" t="s">
        <v>482</v>
      </c>
      <c r="D206" s="19">
        <v>3206092</v>
      </c>
      <c r="E206" s="19">
        <v>2</v>
      </c>
      <c r="F206" s="19"/>
      <c r="G206" s="19">
        <v>610</v>
      </c>
      <c r="H206" s="19" t="s">
        <v>117</v>
      </c>
      <c r="I206" s="19"/>
      <c r="J206" s="19" t="s">
        <v>118</v>
      </c>
      <c r="K206" s="19" t="b">
        <v>1</v>
      </c>
      <c r="L206" s="15">
        <v>2014</v>
      </c>
      <c r="M206" s="16">
        <v>26738</v>
      </c>
      <c r="N206" s="20">
        <v>41529</v>
      </c>
      <c r="O206" s="20">
        <v>41529</v>
      </c>
    </row>
    <row r="207" spans="1:15">
      <c r="A207" s="17">
        <v>2013</v>
      </c>
      <c r="B207" s="18" t="s">
        <v>481</v>
      </c>
      <c r="C207" s="18" t="s">
        <v>482</v>
      </c>
      <c r="D207" s="19">
        <v>3206092</v>
      </c>
      <c r="E207" s="19">
        <v>2</v>
      </c>
      <c r="F207" s="19"/>
      <c r="G207" s="19">
        <v>540</v>
      </c>
      <c r="H207" s="19" t="s">
        <v>109</v>
      </c>
      <c r="I207" s="19" t="s">
        <v>499</v>
      </c>
      <c r="J207" s="19" t="s">
        <v>110</v>
      </c>
      <c r="K207" s="19" t="b">
        <v>0</v>
      </c>
      <c r="L207" s="15">
        <v>2020</v>
      </c>
      <c r="M207" s="16">
        <v>28</v>
      </c>
      <c r="N207" s="20">
        <v>41529</v>
      </c>
      <c r="O207" s="20">
        <v>41529</v>
      </c>
    </row>
    <row r="208" spans="1:15">
      <c r="A208" s="17">
        <v>2013</v>
      </c>
      <c r="B208" s="18" t="s">
        <v>481</v>
      </c>
      <c r="C208" s="18" t="s">
        <v>482</v>
      </c>
      <c r="D208" s="19">
        <v>3206092</v>
      </c>
      <c r="E208" s="19">
        <v>2</v>
      </c>
      <c r="F208" s="19"/>
      <c r="G208" s="19">
        <v>420</v>
      </c>
      <c r="H208" s="19">
        <v>8.1</v>
      </c>
      <c r="I208" s="19" t="s">
        <v>494</v>
      </c>
      <c r="J208" s="19" t="s">
        <v>96</v>
      </c>
      <c r="K208" s="19" t="b">
        <v>0</v>
      </c>
      <c r="L208" s="15">
        <v>2022</v>
      </c>
      <c r="M208" s="16">
        <v>2241426</v>
      </c>
      <c r="N208" s="20">
        <v>41529</v>
      </c>
      <c r="O208" s="20">
        <v>41529</v>
      </c>
    </row>
    <row r="209" spans="1:15">
      <c r="A209" s="17">
        <v>2013</v>
      </c>
      <c r="B209" s="18" t="s">
        <v>481</v>
      </c>
      <c r="C209" s="18" t="s">
        <v>482</v>
      </c>
      <c r="D209" s="19">
        <v>3206092</v>
      </c>
      <c r="E209" s="19">
        <v>2</v>
      </c>
      <c r="F209" s="19"/>
      <c r="G209" s="19">
        <v>510</v>
      </c>
      <c r="H209" s="19">
        <v>9.6999999999999993</v>
      </c>
      <c r="I209" s="19"/>
      <c r="J209" s="19" t="s">
        <v>484</v>
      </c>
      <c r="K209" s="19" t="b">
        <v>1</v>
      </c>
      <c r="L209" s="15">
        <v>2019</v>
      </c>
      <c r="M209" s="16">
        <v>9.3200000000000005E-2</v>
      </c>
      <c r="N209" s="20">
        <v>41529</v>
      </c>
      <c r="O209" s="20">
        <v>41529</v>
      </c>
    </row>
    <row r="210" spans="1:15">
      <c r="A210" s="17">
        <v>2013</v>
      </c>
      <c r="B210" s="18" t="s">
        <v>481</v>
      </c>
      <c r="C210" s="18" t="s">
        <v>482</v>
      </c>
      <c r="D210" s="19">
        <v>3206092</v>
      </c>
      <c r="E210" s="19">
        <v>2</v>
      </c>
      <c r="F210" s="19"/>
      <c r="G210" s="19">
        <v>460</v>
      </c>
      <c r="H210" s="19">
        <v>9.1999999999999993</v>
      </c>
      <c r="I210" s="19" t="s">
        <v>487</v>
      </c>
      <c r="J210" s="19" t="s">
        <v>99</v>
      </c>
      <c r="K210" s="19" t="b">
        <v>0</v>
      </c>
      <c r="L210" s="15">
        <v>2022</v>
      </c>
      <c r="M210" s="16">
        <v>7.9899999999999999E-2</v>
      </c>
      <c r="N210" s="20">
        <v>41529</v>
      </c>
      <c r="O210" s="20">
        <v>41529</v>
      </c>
    </row>
    <row r="211" spans="1:15">
      <c r="A211" s="17">
        <v>2013</v>
      </c>
      <c r="B211" s="18" t="s">
        <v>481</v>
      </c>
      <c r="C211" s="18" t="s">
        <v>482</v>
      </c>
      <c r="D211" s="19">
        <v>3206092</v>
      </c>
      <c r="E211" s="19">
        <v>2</v>
      </c>
      <c r="F211" s="19"/>
      <c r="G211" s="19">
        <v>190</v>
      </c>
      <c r="H211" s="19">
        <v>2.2000000000000002</v>
      </c>
      <c r="I211" s="19"/>
      <c r="J211" s="19" t="s">
        <v>72</v>
      </c>
      <c r="K211" s="19" t="b">
        <v>0</v>
      </c>
      <c r="L211" s="15">
        <v>2016</v>
      </c>
      <c r="M211" s="16">
        <v>1197417</v>
      </c>
      <c r="N211" s="20">
        <v>41529</v>
      </c>
      <c r="O211" s="20">
        <v>41529</v>
      </c>
    </row>
    <row r="212" spans="1:15">
      <c r="A212" s="17">
        <v>2013</v>
      </c>
      <c r="B212" s="18" t="s">
        <v>481</v>
      </c>
      <c r="C212" s="18" t="s">
        <v>482</v>
      </c>
      <c r="D212" s="19">
        <v>3206092</v>
      </c>
      <c r="E212" s="19">
        <v>2</v>
      </c>
      <c r="F212" s="19"/>
      <c r="G212" s="19">
        <v>560</v>
      </c>
      <c r="H212" s="19">
        <v>10.1</v>
      </c>
      <c r="I212" s="19"/>
      <c r="J212" s="19" t="s">
        <v>112</v>
      </c>
      <c r="K212" s="19" t="b">
        <v>0</v>
      </c>
      <c r="L212" s="15">
        <v>2018</v>
      </c>
      <c r="M212" s="16">
        <v>600000</v>
      </c>
      <c r="N212" s="20">
        <v>41529</v>
      </c>
      <c r="O212" s="20">
        <v>41529</v>
      </c>
    </row>
    <row r="213" spans="1:15">
      <c r="A213" s="17">
        <v>2013</v>
      </c>
      <c r="B213" s="18" t="s">
        <v>481</v>
      </c>
      <c r="C213" s="18" t="s">
        <v>482</v>
      </c>
      <c r="D213" s="19">
        <v>3206092</v>
      </c>
      <c r="E213" s="19">
        <v>2</v>
      </c>
      <c r="F213" s="19"/>
      <c r="G213" s="19">
        <v>300</v>
      </c>
      <c r="H213" s="19">
        <v>5</v>
      </c>
      <c r="I213" s="19" t="s">
        <v>500</v>
      </c>
      <c r="J213" s="19" t="s">
        <v>83</v>
      </c>
      <c r="K213" s="19" t="b">
        <v>0</v>
      </c>
      <c r="L213" s="15">
        <v>2022</v>
      </c>
      <c r="M213" s="16">
        <v>1330000</v>
      </c>
      <c r="N213" s="20">
        <v>41529</v>
      </c>
      <c r="O213" s="20">
        <v>41529</v>
      </c>
    </row>
    <row r="214" spans="1:15">
      <c r="A214" s="17">
        <v>2013</v>
      </c>
      <c r="B214" s="18" t="s">
        <v>481</v>
      </c>
      <c r="C214" s="18" t="s">
        <v>482</v>
      </c>
      <c r="D214" s="19">
        <v>3206092</v>
      </c>
      <c r="E214" s="19">
        <v>2</v>
      </c>
      <c r="F214" s="19"/>
      <c r="G214" s="19">
        <v>380</v>
      </c>
      <c r="H214" s="19">
        <v>6.2</v>
      </c>
      <c r="I214" s="19" t="s">
        <v>495</v>
      </c>
      <c r="J214" s="19" t="s">
        <v>93</v>
      </c>
      <c r="K214" s="19" t="b">
        <v>0</v>
      </c>
      <c r="L214" s="15">
        <v>2014</v>
      </c>
      <c r="M214" s="16">
        <v>0.52049999999999996</v>
      </c>
      <c r="N214" s="20">
        <v>41529</v>
      </c>
      <c r="O214" s="20">
        <v>41529</v>
      </c>
    </row>
    <row r="215" spans="1:15">
      <c r="A215" s="17">
        <v>2013</v>
      </c>
      <c r="B215" s="18" t="s">
        <v>481</v>
      </c>
      <c r="C215" s="18" t="s">
        <v>482</v>
      </c>
      <c r="D215" s="19">
        <v>3206092</v>
      </c>
      <c r="E215" s="19">
        <v>2</v>
      </c>
      <c r="F215" s="19"/>
      <c r="G215" s="19">
        <v>70</v>
      </c>
      <c r="H215" s="19" t="s">
        <v>52</v>
      </c>
      <c r="I215" s="19"/>
      <c r="J215" s="19" t="s">
        <v>53</v>
      </c>
      <c r="K215" s="19" t="b">
        <v>1</v>
      </c>
      <c r="L215" s="15">
        <v>2021</v>
      </c>
      <c r="M215" s="16">
        <v>7233000</v>
      </c>
      <c r="N215" s="20">
        <v>41529</v>
      </c>
      <c r="O215" s="20">
        <v>41529</v>
      </c>
    </row>
    <row r="216" spans="1:15">
      <c r="A216" s="17">
        <v>2013</v>
      </c>
      <c r="B216" s="18" t="s">
        <v>481</v>
      </c>
      <c r="C216" s="18" t="s">
        <v>482</v>
      </c>
      <c r="D216" s="19">
        <v>3206092</v>
      </c>
      <c r="E216" s="19">
        <v>2</v>
      </c>
      <c r="F216" s="19"/>
      <c r="G216" s="19">
        <v>180</v>
      </c>
      <c r="H216" s="19" t="s">
        <v>70</v>
      </c>
      <c r="I216" s="19"/>
      <c r="J216" s="19" t="s">
        <v>71</v>
      </c>
      <c r="K216" s="19" t="b">
        <v>0</v>
      </c>
      <c r="L216" s="15">
        <v>2025</v>
      </c>
      <c r="M216" s="16">
        <v>31950</v>
      </c>
      <c r="N216" s="20">
        <v>41529</v>
      </c>
      <c r="O216" s="20">
        <v>41529</v>
      </c>
    </row>
    <row r="217" spans="1:15">
      <c r="A217" s="17">
        <v>2013</v>
      </c>
      <c r="B217" s="18" t="s">
        <v>481</v>
      </c>
      <c r="C217" s="18" t="s">
        <v>482</v>
      </c>
      <c r="D217" s="19">
        <v>3206092</v>
      </c>
      <c r="E217" s="19">
        <v>2</v>
      </c>
      <c r="F217" s="19"/>
      <c r="G217" s="19">
        <v>640</v>
      </c>
      <c r="H217" s="19">
        <v>11.5</v>
      </c>
      <c r="I217" s="19"/>
      <c r="J217" s="19" t="s">
        <v>122</v>
      </c>
      <c r="K217" s="19" t="b">
        <v>1</v>
      </c>
      <c r="L217" s="15">
        <v>2013</v>
      </c>
      <c r="M217" s="16">
        <v>2022915</v>
      </c>
      <c r="N217" s="20">
        <v>41529</v>
      </c>
      <c r="O217" s="20">
        <v>41529</v>
      </c>
    </row>
    <row r="218" spans="1:15">
      <c r="A218" s="17">
        <v>2013</v>
      </c>
      <c r="B218" s="18" t="s">
        <v>481</v>
      </c>
      <c r="C218" s="18" t="s">
        <v>482</v>
      </c>
      <c r="D218" s="19">
        <v>3206092</v>
      </c>
      <c r="E218" s="19">
        <v>2</v>
      </c>
      <c r="F218" s="19"/>
      <c r="G218" s="19">
        <v>700</v>
      </c>
      <c r="H218" s="19">
        <v>12.2</v>
      </c>
      <c r="I218" s="19"/>
      <c r="J218" s="19" t="s">
        <v>130</v>
      </c>
      <c r="K218" s="19" t="b">
        <v>0</v>
      </c>
      <c r="L218" s="15">
        <v>2013</v>
      </c>
      <c r="M218" s="16">
        <v>972461</v>
      </c>
      <c r="N218" s="20">
        <v>41529</v>
      </c>
      <c r="O218" s="20">
        <v>41529</v>
      </c>
    </row>
    <row r="219" spans="1:15">
      <c r="A219" s="17">
        <v>2013</v>
      </c>
      <c r="B219" s="18" t="s">
        <v>481</v>
      </c>
      <c r="C219" s="18" t="s">
        <v>482</v>
      </c>
      <c r="D219" s="19">
        <v>3206092</v>
      </c>
      <c r="E219" s="19">
        <v>2</v>
      </c>
      <c r="F219" s="19"/>
      <c r="G219" s="19">
        <v>380</v>
      </c>
      <c r="H219" s="19">
        <v>6.2</v>
      </c>
      <c r="I219" s="19" t="s">
        <v>495</v>
      </c>
      <c r="J219" s="19" t="s">
        <v>93</v>
      </c>
      <c r="K219" s="19" t="b">
        <v>0</v>
      </c>
      <c r="L219" s="15">
        <v>2016</v>
      </c>
      <c r="M219" s="16">
        <v>0.55900000000000005</v>
      </c>
      <c r="N219" s="20">
        <v>41529</v>
      </c>
      <c r="O219" s="20">
        <v>41529</v>
      </c>
    </row>
    <row r="220" spans="1:15">
      <c r="A220" s="17">
        <v>2013</v>
      </c>
      <c r="B220" s="18" t="s">
        <v>481</v>
      </c>
      <c r="C220" s="18" t="s">
        <v>482</v>
      </c>
      <c r="D220" s="19">
        <v>3206092</v>
      </c>
      <c r="E220" s="19">
        <v>2</v>
      </c>
      <c r="F220" s="19"/>
      <c r="G220" s="19">
        <v>350</v>
      </c>
      <c r="H220" s="19">
        <v>6</v>
      </c>
      <c r="I220" s="19"/>
      <c r="J220" s="19" t="s">
        <v>27</v>
      </c>
      <c r="K220" s="19" t="b">
        <v>1</v>
      </c>
      <c r="L220" s="15">
        <v>2018</v>
      </c>
      <c r="M220" s="16">
        <v>8831000</v>
      </c>
      <c r="N220" s="20">
        <v>41529</v>
      </c>
      <c r="O220" s="20">
        <v>41529</v>
      </c>
    </row>
    <row r="221" spans="1:15">
      <c r="A221" s="17">
        <v>2013</v>
      </c>
      <c r="B221" s="18" t="s">
        <v>481</v>
      </c>
      <c r="C221" s="18" t="s">
        <v>482</v>
      </c>
      <c r="D221" s="19">
        <v>3206092</v>
      </c>
      <c r="E221" s="19">
        <v>2</v>
      </c>
      <c r="F221" s="19"/>
      <c r="G221" s="19">
        <v>130</v>
      </c>
      <c r="H221" s="19">
        <v>2.1</v>
      </c>
      <c r="I221" s="19"/>
      <c r="J221" s="19" t="s">
        <v>61</v>
      </c>
      <c r="K221" s="19" t="b">
        <v>1</v>
      </c>
      <c r="L221" s="15">
        <v>2014</v>
      </c>
      <c r="M221" s="16">
        <v>16272983</v>
      </c>
      <c r="N221" s="20">
        <v>41529</v>
      </c>
      <c r="O221" s="20">
        <v>41529</v>
      </c>
    </row>
    <row r="222" spans="1:15">
      <c r="A222" s="17">
        <v>2013</v>
      </c>
      <c r="B222" s="18" t="s">
        <v>481</v>
      </c>
      <c r="C222" s="18" t="s">
        <v>482</v>
      </c>
      <c r="D222" s="19">
        <v>3206092</v>
      </c>
      <c r="E222" s="19">
        <v>2</v>
      </c>
      <c r="F222" s="19"/>
      <c r="G222" s="19">
        <v>880</v>
      </c>
      <c r="H222" s="19">
        <v>14.1</v>
      </c>
      <c r="I222" s="19"/>
      <c r="J222" s="19" t="s">
        <v>154</v>
      </c>
      <c r="K222" s="19" t="b">
        <v>1</v>
      </c>
      <c r="L222" s="15">
        <v>2020</v>
      </c>
      <c r="M222" s="16">
        <v>1300000</v>
      </c>
      <c r="N222" s="20">
        <v>41529</v>
      </c>
      <c r="O222" s="20">
        <v>41529</v>
      </c>
    </row>
    <row r="223" spans="1:15">
      <c r="A223" s="17">
        <v>2013</v>
      </c>
      <c r="B223" s="18" t="s">
        <v>481</v>
      </c>
      <c r="C223" s="18" t="s">
        <v>482</v>
      </c>
      <c r="D223" s="19">
        <v>3206092</v>
      </c>
      <c r="E223" s="19">
        <v>2</v>
      </c>
      <c r="F223" s="19"/>
      <c r="G223" s="19">
        <v>180</v>
      </c>
      <c r="H223" s="19" t="s">
        <v>70</v>
      </c>
      <c r="I223" s="19"/>
      <c r="J223" s="19" t="s">
        <v>71</v>
      </c>
      <c r="K223" s="19" t="b">
        <v>0</v>
      </c>
      <c r="L223" s="15">
        <v>2023</v>
      </c>
      <c r="M223" s="16">
        <v>183000</v>
      </c>
      <c r="N223" s="20">
        <v>41529</v>
      </c>
      <c r="O223" s="20">
        <v>41529</v>
      </c>
    </row>
    <row r="224" spans="1:15">
      <c r="A224" s="17">
        <v>2013</v>
      </c>
      <c r="B224" s="18" t="s">
        <v>481</v>
      </c>
      <c r="C224" s="18" t="s">
        <v>482</v>
      </c>
      <c r="D224" s="19">
        <v>3206092</v>
      </c>
      <c r="E224" s="19">
        <v>2</v>
      </c>
      <c r="F224" s="19"/>
      <c r="G224" s="19">
        <v>580</v>
      </c>
      <c r="H224" s="19">
        <v>11.1</v>
      </c>
      <c r="I224" s="19"/>
      <c r="J224" s="19" t="s">
        <v>114</v>
      </c>
      <c r="K224" s="19" t="b">
        <v>0</v>
      </c>
      <c r="L224" s="15">
        <v>2023</v>
      </c>
      <c r="M224" s="16">
        <v>8818712</v>
      </c>
      <c r="N224" s="20">
        <v>41529</v>
      </c>
      <c r="O224" s="20">
        <v>41529</v>
      </c>
    </row>
    <row r="225" spans="1:15">
      <c r="A225" s="17">
        <v>2013</v>
      </c>
      <c r="B225" s="18" t="s">
        <v>481</v>
      </c>
      <c r="C225" s="18" t="s">
        <v>482</v>
      </c>
      <c r="D225" s="19">
        <v>3206092</v>
      </c>
      <c r="E225" s="19">
        <v>2</v>
      </c>
      <c r="F225" s="19"/>
      <c r="G225" s="19">
        <v>470</v>
      </c>
      <c r="H225" s="19">
        <v>9.3000000000000007</v>
      </c>
      <c r="I225" s="19" t="s">
        <v>489</v>
      </c>
      <c r="J225" s="19" t="s">
        <v>490</v>
      </c>
      <c r="K225" s="19" t="b">
        <v>1</v>
      </c>
      <c r="L225" s="15">
        <v>2020</v>
      </c>
      <c r="M225" s="16">
        <v>9.11E-2</v>
      </c>
      <c r="N225" s="20">
        <v>41529</v>
      </c>
      <c r="O225" s="20">
        <v>41529</v>
      </c>
    </row>
    <row r="226" spans="1:15">
      <c r="A226" s="17">
        <v>2013</v>
      </c>
      <c r="B226" s="18" t="s">
        <v>481</v>
      </c>
      <c r="C226" s="18" t="s">
        <v>482</v>
      </c>
      <c r="D226" s="19">
        <v>3206092</v>
      </c>
      <c r="E226" s="19">
        <v>2</v>
      </c>
      <c r="F226" s="19"/>
      <c r="G226" s="19">
        <v>530</v>
      </c>
      <c r="H226" s="19">
        <v>9.8000000000000007</v>
      </c>
      <c r="I226" s="19" t="s">
        <v>486</v>
      </c>
      <c r="J226" s="19" t="s">
        <v>108</v>
      </c>
      <c r="K226" s="19" t="b">
        <v>0</v>
      </c>
      <c r="L226" s="15">
        <v>2017</v>
      </c>
      <c r="M226" s="16">
        <v>50</v>
      </c>
      <c r="N226" s="20">
        <v>41529</v>
      </c>
      <c r="O226" s="20">
        <v>41529</v>
      </c>
    </row>
    <row r="227" spans="1:15">
      <c r="A227" s="17">
        <v>2013</v>
      </c>
      <c r="B227" s="18" t="s">
        <v>481</v>
      </c>
      <c r="C227" s="18" t="s">
        <v>482</v>
      </c>
      <c r="D227" s="19">
        <v>3206092</v>
      </c>
      <c r="E227" s="19">
        <v>2</v>
      </c>
      <c r="F227" s="19"/>
      <c r="G227" s="19">
        <v>920</v>
      </c>
      <c r="H227" s="19" t="s">
        <v>159</v>
      </c>
      <c r="I227" s="19"/>
      <c r="J227" s="19" t="s">
        <v>160</v>
      </c>
      <c r="K227" s="19" t="b">
        <v>1</v>
      </c>
      <c r="L227" s="15">
        <v>2014</v>
      </c>
      <c r="M227" s="16">
        <v>9850</v>
      </c>
      <c r="N227" s="20">
        <v>41529</v>
      </c>
      <c r="O227" s="20">
        <v>41529</v>
      </c>
    </row>
    <row r="228" spans="1:15">
      <c r="A228" s="17">
        <v>2013</v>
      </c>
      <c r="B228" s="18" t="s">
        <v>481</v>
      </c>
      <c r="C228" s="18" t="s">
        <v>482</v>
      </c>
      <c r="D228" s="19">
        <v>3206092</v>
      </c>
      <c r="E228" s="19">
        <v>2</v>
      </c>
      <c r="F228" s="19"/>
      <c r="G228" s="19">
        <v>200</v>
      </c>
      <c r="H228" s="19">
        <v>3</v>
      </c>
      <c r="I228" s="19" t="s">
        <v>492</v>
      </c>
      <c r="J228" s="19" t="s">
        <v>23</v>
      </c>
      <c r="K228" s="19" t="b">
        <v>0</v>
      </c>
      <c r="L228" s="15">
        <v>2017</v>
      </c>
      <c r="M228" s="16">
        <v>600000</v>
      </c>
      <c r="N228" s="20">
        <v>41529</v>
      </c>
      <c r="O228" s="20">
        <v>41529</v>
      </c>
    </row>
    <row r="229" spans="1:15">
      <c r="A229" s="17">
        <v>2013</v>
      </c>
      <c r="B229" s="18" t="s">
        <v>481</v>
      </c>
      <c r="C229" s="18" t="s">
        <v>482</v>
      </c>
      <c r="D229" s="19">
        <v>3206092</v>
      </c>
      <c r="E229" s="19">
        <v>2</v>
      </c>
      <c r="F229" s="19"/>
      <c r="G229" s="19">
        <v>20</v>
      </c>
      <c r="H229" s="19">
        <v>1.1000000000000001</v>
      </c>
      <c r="I229" s="19"/>
      <c r="J229" s="19" t="s">
        <v>43</v>
      </c>
      <c r="K229" s="19" t="b">
        <v>1</v>
      </c>
      <c r="L229" s="15">
        <v>2020</v>
      </c>
      <c r="M229" s="16">
        <v>18507811</v>
      </c>
      <c r="N229" s="20">
        <v>41529</v>
      </c>
      <c r="O229" s="20">
        <v>41529</v>
      </c>
    </row>
    <row r="230" spans="1:15">
      <c r="A230" s="17">
        <v>2013</v>
      </c>
      <c r="B230" s="18" t="s">
        <v>481</v>
      </c>
      <c r="C230" s="18" t="s">
        <v>482</v>
      </c>
      <c r="D230" s="19">
        <v>3206092</v>
      </c>
      <c r="E230" s="19">
        <v>2</v>
      </c>
      <c r="F230" s="19"/>
      <c r="G230" s="19">
        <v>190</v>
      </c>
      <c r="H230" s="19">
        <v>2.2000000000000002</v>
      </c>
      <c r="I230" s="19"/>
      <c r="J230" s="19" t="s">
        <v>72</v>
      </c>
      <c r="K230" s="19" t="b">
        <v>0</v>
      </c>
      <c r="L230" s="15">
        <v>2025</v>
      </c>
      <c r="M230" s="16">
        <v>2293654</v>
      </c>
      <c r="N230" s="20">
        <v>41529</v>
      </c>
      <c r="O230" s="20">
        <v>41529</v>
      </c>
    </row>
    <row r="231" spans="1:15">
      <c r="A231" s="17">
        <v>2013</v>
      </c>
      <c r="B231" s="18" t="s">
        <v>481</v>
      </c>
      <c r="C231" s="18" t="s">
        <v>482</v>
      </c>
      <c r="D231" s="19">
        <v>3206092</v>
      </c>
      <c r="E231" s="19">
        <v>2</v>
      </c>
      <c r="F231" s="19"/>
      <c r="G231" s="19">
        <v>10</v>
      </c>
      <c r="H231" s="19">
        <v>1</v>
      </c>
      <c r="I231" s="19" t="s">
        <v>491</v>
      </c>
      <c r="J231" s="19" t="s">
        <v>26</v>
      </c>
      <c r="K231" s="19" t="b">
        <v>1</v>
      </c>
      <c r="L231" s="15">
        <v>2022</v>
      </c>
      <c r="M231" s="16">
        <v>19934936</v>
      </c>
      <c r="N231" s="20">
        <v>41529</v>
      </c>
      <c r="O231" s="20">
        <v>41529</v>
      </c>
    </row>
    <row r="232" spans="1:15">
      <c r="A232" s="17">
        <v>2013</v>
      </c>
      <c r="B232" s="18" t="s">
        <v>481</v>
      </c>
      <c r="C232" s="18" t="s">
        <v>482</v>
      </c>
      <c r="D232" s="19">
        <v>3206092</v>
      </c>
      <c r="E232" s="19">
        <v>2</v>
      </c>
      <c r="F232" s="19"/>
      <c r="G232" s="19">
        <v>310</v>
      </c>
      <c r="H232" s="19">
        <v>5.0999999999999996</v>
      </c>
      <c r="I232" s="19"/>
      <c r="J232" s="19" t="s">
        <v>84</v>
      </c>
      <c r="K232" s="19" t="b">
        <v>1</v>
      </c>
      <c r="L232" s="15">
        <v>2021</v>
      </c>
      <c r="M232" s="16">
        <v>1200000</v>
      </c>
      <c r="N232" s="20">
        <v>41529</v>
      </c>
      <c r="O232" s="20">
        <v>41529</v>
      </c>
    </row>
    <row r="233" spans="1:15">
      <c r="A233" s="17">
        <v>2013</v>
      </c>
      <c r="B233" s="18" t="s">
        <v>481</v>
      </c>
      <c r="C233" s="18" t="s">
        <v>482</v>
      </c>
      <c r="D233" s="19">
        <v>3206092</v>
      </c>
      <c r="E233" s="19">
        <v>2</v>
      </c>
      <c r="F233" s="19"/>
      <c r="G233" s="19">
        <v>450</v>
      </c>
      <c r="H233" s="19">
        <v>9.1</v>
      </c>
      <c r="I233" s="19" t="s">
        <v>489</v>
      </c>
      <c r="J233" s="19" t="s">
        <v>98</v>
      </c>
      <c r="K233" s="19" t="b">
        <v>1</v>
      </c>
      <c r="L233" s="15">
        <v>2024</v>
      </c>
      <c r="M233" s="16">
        <v>7.7700000000000005E-2</v>
      </c>
      <c r="N233" s="20">
        <v>41529</v>
      </c>
      <c r="O233" s="20">
        <v>41529</v>
      </c>
    </row>
    <row r="234" spans="1:15">
      <c r="A234" s="17">
        <v>2013</v>
      </c>
      <c r="B234" s="18" t="s">
        <v>481</v>
      </c>
      <c r="C234" s="18" t="s">
        <v>482</v>
      </c>
      <c r="D234" s="19">
        <v>3206092</v>
      </c>
      <c r="E234" s="19">
        <v>2</v>
      </c>
      <c r="F234" s="19"/>
      <c r="G234" s="19">
        <v>505</v>
      </c>
      <c r="H234" s="19" t="s">
        <v>103</v>
      </c>
      <c r="I234" s="19" t="s">
        <v>485</v>
      </c>
      <c r="J234" s="19" t="s">
        <v>104</v>
      </c>
      <c r="K234" s="19" t="b">
        <v>0</v>
      </c>
      <c r="L234" s="15">
        <v>2013</v>
      </c>
      <c r="M234" s="16">
        <v>6.3200000000000006E-2</v>
      </c>
      <c r="N234" s="20">
        <v>41529</v>
      </c>
      <c r="O234" s="20">
        <v>41529</v>
      </c>
    </row>
    <row r="235" spans="1:15">
      <c r="A235" s="17">
        <v>2013</v>
      </c>
      <c r="B235" s="18" t="s">
        <v>481</v>
      </c>
      <c r="C235" s="18" t="s">
        <v>482</v>
      </c>
      <c r="D235" s="19">
        <v>3206092</v>
      </c>
      <c r="E235" s="19">
        <v>2</v>
      </c>
      <c r="F235" s="19"/>
      <c r="G235" s="19">
        <v>50</v>
      </c>
      <c r="H235" s="19" t="s">
        <v>48</v>
      </c>
      <c r="I235" s="19"/>
      <c r="J235" s="19" t="s">
        <v>49</v>
      </c>
      <c r="K235" s="19" t="b">
        <v>1</v>
      </c>
      <c r="L235" s="15">
        <v>2016</v>
      </c>
      <c r="M235" s="16">
        <v>5240000</v>
      </c>
      <c r="N235" s="20">
        <v>41529</v>
      </c>
      <c r="O235" s="20">
        <v>41529</v>
      </c>
    </row>
    <row r="236" spans="1:15">
      <c r="A236" s="17">
        <v>2013</v>
      </c>
      <c r="B236" s="18" t="s">
        <v>481</v>
      </c>
      <c r="C236" s="18" t="s">
        <v>482</v>
      </c>
      <c r="D236" s="19">
        <v>3206092</v>
      </c>
      <c r="E236" s="19">
        <v>2</v>
      </c>
      <c r="F236" s="19"/>
      <c r="G236" s="19">
        <v>530</v>
      </c>
      <c r="H236" s="19">
        <v>9.8000000000000007</v>
      </c>
      <c r="I236" s="19" t="s">
        <v>486</v>
      </c>
      <c r="J236" s="19" t="s">
        <v>108</v>
      </c>
      <c r="K236" s="19" t="b">
        <v>0</v>
      </c>
      <c r="L236" s="15">
        <v>2019</v>
      </c>
      <c r="M236" s="16">
        <v>34</v>
      </c>
      <c r="N236" s="20">
        <v>41529</v>
      </c>
      <c r="O236" s="20">
        <v>41529</v>
      </c>
    </row>
    <row r="237" spans="1:15">
      <c r="A237" s="17">
        <v>2013</v>
      </c>
      <c r="B237" s="18" t="s">
        <v>481</v>
      </c>
      <c r="C237" s="18" t="s">
        <v>482</v>
      </c>
      <c r="D237" s="19">
        <v>3206092</v>
      </c>
      <c r="E237" s="19">
        <v>2</v>
      </c>
      <c r="F237" s="19"/>
      <c r="G237" s="19">
        <v>620</v>
      </c>
      <c r="H237" s="19" t="s">
        <v>119</v>
      </c>
      <c r="I237" s="19"/>
      <c r="J237" s="19" t="s">
        <v>120</v>
      </c>
      <c r="K237" s="19" t="b">
        <v>1</v>
      </c>
      <c r="L237" s="15">
        <v>2013</v>
      </c>
      <c r="M237" s="16">
        <v>2925561</v>
      </c>
      <c r="N237" s="20">
        <v>41529</v>
      </c>
      <c r="O237" s="20">
        <v>41529</v>
      </c>
    </row>
    <row r="238" spans="1:15">
      <c r="A238" s="17">
        <v>2013</v>
      </c>
      <c r="B238" s="18" t="s">
        <v>481</v>
      </c>
      <c r="C238" s="18" t="s">
        <v>482</v>
      </c>
      <c r="D238" s="19">
        <v>3206092</v>
      </c>
      <c r="E238" s="19">
        <v>2</v>
      </c>
      <c r="F238" s="19"/>
      <c r="G238" s="19">
        <v>640</v>
      </c>
      <c r="H238" s="19">
        <v>11.5</v>
      </c>
      <c r="I238" s="19"/>
      <c r="J238" s="19" t="s">
        <v>122</v>
      </c>
      <c r="K238" s="19" t="b">
        <v>1</v>
      </c>
      <c r="L238" s="15">
        <v>2014</v>
      </c>
      <c r="M238" s="16">
        <v>941713</v>
      </c>
      <c r="N238" s="20">
        <v>41529</v>
      </c>
      <c r="O238" s="20">
        <v>41529</v>
      </c>
    </row>
    <row r="239" spans="1:15">
      <c r="A239" s="17">
        <v>2013</v>
      </c>
      <c r="B239" s="18" t="s">
        <v>481</v>
      </c>
      <c r="C239" s="18" t="s">
        <v>482</v>
      </c>
      <c r="D239" s="19">
        <v>3206092</v>
      </c>
      <c r="E239" s="19">
        <v>2</v>
      </c>
      <c r="F239" s="19"/>
      <c r="G239" s="19">
        <v>510</v>
      </c>
      <c r="H239" s="19">
        <v>9.6999999999999993</v>
      </c>
      <c r="I239" s="19"/>
      <c r="J239" s="19" t="s">
        <v>484</v>
      </c>
      <c r="K239" s="19" t="b">
        <v>1</v>
      </c>
      <c r="L239" s="15">
        <v>2018</v>
      </c>
      <c r="M239" s="16">
        <v>8.5900000000000004E-2</v>
      </c>
      <c r="N239" s="20">
        <v>41529</v>
      </c>
      <c r="O239" s="20">
        <v>41529</v>
      </c>
    </row>
    <row r="240" spans="1:15">
      <c r="A240" s="17">
        <v>2013</v>
      </c>
      <c r="B240" s="18" t="s">
        <v>481</v>
      </c>
      <c r="C240" s="18" t="s">
        <v>482</v>
      </c>
      <c r="D240" s="19">
        <v>3206092</v>
      </c>
      <c r="E240" s="19">
        <v>2</v>
      </c>
      <c r="F240" s="19"/>
      <c r="G240" s="19">
        <v>300</v>
      </c>
      <c r="H240" s="19">
        <v>5</v>
      </c>
      <c r="I240" s="19" t="s">
        <v>500</v>
      </c>
      <c r="J240" s="19" t="s">
        <v>83</v>
      </c>
      <c r="K240" s="19" t="b">
        <v>0</v>
      </c>
      <c r="L240" s="15">
        <v>2015</v>
      </c>
      <c r="M240" s="16">
        <v>100000</v>
      </c>
      <c r="N240" s="20">
        <v>41529</v>
      </c>
      <c r="O240" s="20">
        <v>41529</v>
      </c>
    </row>
    <row r="241" spans="1:15">
      <c r="A241" s="17">
        <v>2013</v>
      </c>
      <c r="B241" s="18" t="s">
        <v>481</v>
      </c>
      <c r="C241" s="18" t="s">
        <v>482</v>
      </c>
      <c r="D241" s="19">
        <v>3206092</v>
      </c>
      <c r="E241" s="19">
        <v>2</v>
      </c>
      <c r="F241" s="19"/>
      <c r="G241" s="19">
        <v>200</v>
      </c>
      <c r="H241" s="19">
        <v>3</v>
      </c>
      <c r="I241" s="19" t="s">
        <v>492</v>
      </c>
      <c r="J241" s="19" t="s">
        <v>23</v>
      </c>
      <c r="K241" s="19" t="b">
        <v>0</v>
      </c>
      <c r="L241" s="15">
        <v>2020</v>
      </c>
      <c r="M241" s="16">
        <v>1300000</v>
      </c>
      <c r="N241" s="20">
        <v>41529</v>
      </c>
      <c r="O241" s="20">
        <v>41529</v>
      </c>
    </row>
    <row r="242" spans="1:15">
      <c r="A242" s="17">
        <v>2013</v>
      </c>
      <c r="B242" s="18" t="s">
        <v>481</v>
      </c>
      <c r="C242" s="18" t="s">
        <v>482</v>
      </c>
      <c r="D242" s="19">
        <v>3206092</v>
      </c>
      <c r="E242" s="19">
        <v>2</v>
      </c>
      <c r="F242" s="19"/>
      <c r="G242" s="19">
        <v>730</v>
      </c>
      <c r="H242" s="19">
        <v>12.3</v>
      </c>
      <c r="I242" s="19"/>
      <c r="J242" s="19" t="s">
        <v>135</v>
      </c>
      <c r="K242" s="19" t="b">
        <v>0</v>
      </c>
      <c r="L242" s="15">
        <v>2013</v>
      </c>
      <c r="M242" s="16">
        <v>401471</v>
      </c>
      <c r="N242" s="20">
        <v>41529</v>
      </c>
      <c r="O242" s="20">
        <v>41529</v>
      </c>
    </row>
    <row r="243" spans="1:15">
      <c r="A243" s="17">
        <v>2013</v>
      </c>
      <c r="B243" s="18" t="s">
        <v>481</v>
      </c>
      <c r="C243" s="18" t="s">
        <v>482</v>
      </c>
      <c r="D243" s="19">
        <v>3206092</v>
      </c>
      <c r="E243" s="19">
        <v>2</v>
      </c>
      <c r="F243" s="19"/>
      <c r="G243" s="19">
        <v>40</v>
      </c>
      <c r="H243" s="19" t="s">
        <v>46</v>
      </c>
      <c r="I243" s="19"/>
      <c r="J243" s="19" t="s">
        <v>47</v>
      </c>
      <c r="K243" s="19" t="b">
        <v>1</v>
      </c>
      <c r="L243" s="15">
        <v>2018</v>
      </c>
      <c r="M243" s="16">
        <v>9000</v>
      </c>
      <c r="N243" s="20">
        <v>41529</v>
      </c>
      <c r="O243" s="20">
        <v>41529</v>
      </c>
    </row>
    <row r="244" spans="1:15">
      <c r="A244" s="17">
        <v>2013</v>
      </c>
      <c r="B244" s="18" t="s">
        <v>481</v>
      </c>
      <c r="C244" s="18" t="s">
        <v>482</v>
      </c>
      <c r="D244" s="19">
        <v>3206092</v>
      </c>
      <c r="E244" s="19">
        <v>2</v>
      </c>
      <c r="F244" s="19"/>
      <c r="G244" s="19">
        <v>450</v>
      </c>
      <c r="H244" s="19">
        <v>9.1</v>
      </c>
      <c r="I244" s="19" t="s">
        <v>489</v>
      </c>
      <c r="J244" s="19" t="s">
        <v>98</v>
      </c>
      <c r="K244" s="19" t="b">
        <v>1</v>
      </c>
      <c r="L244" s="15">
        <v>2017</v>
      </c>
      <c r="M244" s="16">
        <v>6.3399999999999998E-2</v>
      </c>
      <c r="N244" s="20">
        <v>41529</v>
      </c>
      <c r="O244" s="20">
        <v>41529</v>
      </c>
    </row>
    <row r="245" spans="1:15">
      <c r="A245" s="17">
        <v>2013</v>
      </c>
      <c r="B245" s="18" t="s">
        <v>481</v>
      </c>
      <c r="C245" s="18" t="s">
        <v>482</v>
      </c>
      <c r="D245" s="19">
        <v>3206092</v>
      </c>
      <c r="E245" s="19">
        <v>2</v>
      </c>
      <c r="F245" s="19"/>
      <c r="G245" s="19">
        <v>190</v>
      </c>
      <c r="H245" s="19">
        <v>2.2000000000000002</v>
      </c>
      <c r="I245" s="19"/>
      <c r="J245" s="19" t="s">
        <v>72</v>
      </c>
      <c r="K245" s="19" t="b">
        <v>0</v>
      </c>
      <c r="L245" s="15">
        <v>2019</v>
      </c>
      <c r="M245" s="16">
        <v>506904</v>
      </c>
      <c r="N245" s="20">
        <v>41529</v>
      </c>
      <c r="O245" s="20">
        <v>41529</v>
      </c>
    </row>
    <row r="246" spans="1:15">
      <c r="A246" s="17">
        <v>2013</v>
      </c>
      <c r="B246" s="18" t="s">
        <v>481</v>
      </c>
      <c r="C246" s="18" t="s">
        <v>482</v>
      </c>
      <c r="D246" s="19">
        <v>3206092</v>
      </c>
      <c r="E246" s="19">
        <v>2</v>
      </c>
      <c r="F246" s="19"/>
      <c r="G246" s="19">
        <v>390</v>
      </c>
      <c r="H246" s="19">
        <v>6.3</v>
      </c>
      <c r="I246" s="19" t="s">
        <v>498</v>
      </c>
      <c r="J246" s="19" t="s">
        <v>94</v>
      </c>
      <c r="K246" s="19" t="b">
        <v>0</v>
      </c>
      <c r="L246" s="15">
        <v>2018</v>
      </c>
      <c r="M246" s="16">
        <v>0.47620000000000001</v>
      </c>
      <c r="N246" s="20">
        <v>41529</v>
      </c>
      <c r="O246" s="20">
        <v>41529</v>
      </c>
    </row>
    <row r="247" spans="1:15">
      <c r="A247" s="17">
        <v>2013</v>
      </c>
      <c r="B247" s="18" t="s">
        <v>481</v>
      </c>
      <c r="C247" s="18" t="s">
        <v>482</v>
      </c>
      <c r="D247" s="19">
        <v>3206092</v>
      </c>
      <c r="E247" s="19">
        <v>2</v>
      </c>
      <c r="F247" s="19"/>
      <c r="G247" s="19">
        <v>390</v>
      </c>
      <c r="H247" s="19">
        <v>6.3</v>
      </c>
      <c r="I247" s="19" t="s">
        <v>498</v>
      </c>
      <c r="J247" s="19" t="s">
        <v>94</v>
      </c>
      <c r="K247" s="19" t="b">
        <v>0</v>
      </c>
      <c r="L247" s="15">
        <v>2013</v>
      </c>
      <c r="M247" s="16">
        <v>0.4723</v>
      </c>
      <c r="N247" s="20">
        <v>41529</v>
      </c>
      <c r="O247" s="20">
        <v>41529</v>
      </c>
    </row>
    <row r="248" spans="1:15">
      <c r="A248" s="17">
        <v>2013</v>
      </c>
      <c r="B248" s="18" t="s">
        <v>481</v>
      </c>
      <c r="C248" s="18" t="s">
        <v>482</v>
      </c>
      <c r="D248" s="19">
        <v>3206092</v>
      </c>
      <c r="E248" s="19">
        <v>2</v>
      </c>
      <c r="F248" s="19"/>
      <c r="G248" s="19">
        <v>670</v>
      </c>
      <c r="H248" s="19">
        <v>12.1</v>
      </c>
      <c r="I248" s="19"/>
      <c r="J248" s="19" t="s">
        <v>125</v>
      </c>
      <c r="K248" s="19" t="b">
        <v>1</v>
      </c>
      <c r="L248" s="15">
        <v>2013</v>
      </c>
      <c r="M248" s="16">
        <v>255982</v>
      </c>
      <c r="N248" s="20">
        <v>41529</v>
      </c>
      <c r="O248" s="20">
        <v>41529</v>
      </c>
    </row>
    <row r="249" spans="1:15">
      <c r="A249" s="17">
        <v>2013</v>
      </c>
      <c r="B249" s="18" t="s">
        <v>481</v>
      </c>
      <c r="C249" s="18" t="s">
        <v>482</v>
      </c>
      <c r="D249" s="19">
        <v>3206092</v>
      </c>
      <c r="E249" s="19">
        <v>2</v>
      </c>
      <c r="F249" s="19"/>
      <c r="G249" s="19">
        <v>350</v>
      </c>
      <c r="H249" s="19">
        <v>6</v>
      </c>
      <c r="I249" s="19"/>
      <c r="J249" s="19" t="s">
        <v>27</v>
      </c>
      <c r="K249" s="19" t="b">
        <v>1</v>
      </c>
      <c r="L249" s="15">
        <v>2020</v>
      </c>
      <c r="M249" s="16">
        <v>6331000</v>
      </c>
      <c r="N249" s="20">
        <v>41529</v>
      </c>
      <c r="O249" s="20">
        <v>41529</v>
      </c>
    </row>
    <row r="250" spans="1:15">
      <c r="A250" s="17">
        <v>2013</v>
      </c>
      <c r="B250" s="18" t="s">
        <v>481</v>
      </c>
      <c r="C250" s="18" t="s">
        <v>482</v>
      </c>
      <c r="D250" s="19">
        <v>3206092</v>
      </c>
      <c r="E250" s="19">
        <v>2</v>
      </c>
      <c r="F250" s="19"/>
      <c r="G250" s="19">
        <v>460</v>
      </c>
      <c r="H250" s="19">
        <v>9.1999999999999993</v>
      </c>
      <c r="I250" s="19" t="s">
        <v>487</v>
      </c>
      <c r="J250" s="19" t="s">
        <v>99</v>
      </c>
      <c r="K250" s="19" t="b">
        <v>0</v>
      </c>
      <c r="L250" s="15">
        <v>2017</v>
      </c>
      <c r="M250" s="16">
        <v>6.3399999999999998E-2</v>
      </c>
      <c r="N250" s="20">
        <v>41529</v>
      </c>
      <c r="O250" s="20">
        <v>41529</v>
      </c>
    </row>
    <row r="251" spans="1:15">
      <c r="A251" s="17">
        <v>2013</v>
      </c>
      <c r="B251" s="18" t="s">
        <v>481</v>
      </c>
      <c r="C251" s="18" t="s">
        <v>482</v>
      </c>
      <c r="D251" s="19">
        <v>3206092</v>
      </c>
      <c r="E251" s="19">
        <v>2</v>
      </c>
      <c r="F251" s="19"/>
      <c r="G251" s="19">
        <v>500</v>
      </c>
      <c r="H251" s="19">
        <v>9.6</v>
      </c>
      <c r="I251" s="19" t="s">
        <v>488</v>
      </c>
      <c r="J251" s="19" t="s">
        <v>102</v>
      </c>
      <c r="K251" s="19" t="b">
        <v>0</v>
      </c>
      <c r="L251" s="15">
        <v>2020</v>
      </c>
      <c r="M251" s="16">
        <v>9.11E-2</v>
      </c>
      <c r="N251" s="20">
        <v>41529</v>
      </c>
      <c r="O251" s="20">
        <v>41529</v>
      </c>
    </row>
    <row r="252" spans="1:15">
      <c r="A252" s="17">
        <v>2013</v>
      </c>
      <c r="B252" s="18" t="s">
        <v>481</v>
      </c>
      <c r="C252" s="18" t="s">
        <v>482</v>
      </c>
      <c r="D252" s="19">
        <v>3206092</v>
      </c>
      <c r="E252" s="19">
        <v>2</v>
      </c>
      <c r="F252" s="19"/>
      <c r="G252" s="19">
        <v>60</v>
      </c>
      <c r="H252" s="19" t="s">
        <v>50</v>
      </c>
      <c r="I252" s="19"/>
      <c r="J252" s="19" t="s">
        <v>51</v>
      </c>
      <c r="K252" s="19" t="b">
        <v>1</v>
      </c>
      <c r="L252" s="15">
        <v>2023</v>
      </c>
      <c r="M252" s="16">
        <v>3725000</v>
      </c>
      <c r="N252" s="20">
        <v>41529</v>
      </c>
      <c r="O252" s="20">
        <v>41529</v>
      </c>
    </row>
    <row r="253" spans="1:15">
      <c r="A253" s="17">
        <v>2013</v>
      </c>
      <c r="B253" s="18" t="s">
        <v>481</v>
      </c>
      <c r="C253" s="18" t="s">
        <v>482</v>
      </c>
      <c r="D253" s="19">
        <v>3206092</v>
      </c>
      <c r="E253" s="19">
        <v>2</v>
      </c>
      <c r="F253" s="19"/>
      <c r="G253" s="19">
        <v>190</v>
      </c>
      <c r="H253" s="19">
        <v>2.2000000000000002</v>
      </c>
      <c r="I253" s="19"/>
      <c r="J253" s="19" t="s">
        <v>72</v>
      </c>
      <c r="K253" s="19" t="b">
        <v>0</v>
      </c>
      <c r="L253" s="15">
        <v>2023</v>
      </c>
      <c r="M253" s="16">
        <v>1186559</v>
      </c>
      <c r="N253" s="20">
        <v>41529</v>
      </c>
      <c r="O253" s="20">
        <v>41529</v>
      </c>
    </row>
    <row r="254" spans="1:15">
      <c r="A254" s="17">
        <v>2013</v>
      </c>
      <c r="B254" s="18" t="s">
        <v>481</v>
      </c>
      <c r="C254" s="18" t="s">
        <v>482</v>
      </c>
      <c r="D254" s="19">
        <v>3206092</v>
      </c>
      <c r="E254" s="19">
        <v>2</v>
      </c>
      <c r="F254" s="19"/>
      <c r="G254" s="19">
        <v>630</v>
      </c>
      <c r="H254" s="19">
        <v>11.4</v>
      </c>
      <c r="I254" s="19"/>
      <c r="J254" s="19" t="s">
        <v>121</v>
      </c>
      <c r="K254" s="19" t="b">
        <v>1</v>
      </c>
      <c r="L254" s="15">
        <v>2014</v>
      </c>
      <c r="M254" s="16">
        <v>1863304</v>
      </c>
      <c r="N254" s="20">
        <v>41529</v>
      </c>
      <c r="O254" s="20">
        <v>41529</v>
      </c>
    </row>
    <row r="255" spans="1:15">
      <c r="A255" s="17">
        <v>2013</v>
      </c>
      <c r="B255" s="18" t="s">
        <v>481</v>
      </c>
      <c r="C255" s="18" t="s">
        <v>482</v>
      </c>
      <c r="D255" s="19">
        <v>3206092</v>
      </c>
      <c r="E255" s="19">
        <v>2</v>
      </c>
      <c r="F255" s="19"/>
      <c r="G255" s="19">
        <v>20</v>
      </c>
      <c r="H255" s="19">
        <v>1.1000000000000001</v>
      </c>
      <c r="I255" s="19"/>
      <c r="J255" s="19" t="s">
        <v>43</v>
      </c>
      <c r="K255" s="19" t="b">
        <v>1</v>
      </c>
      <c r="L255" s="15">
        <v>2025</v>
      </c>
      <c r="M255" s="16">
        <v>21455625</v>
      </c>
      <c r="N255" s="20">
        <v>41529</v>
      </c>
      <c r="O255" s="20">
        <v>41529</v>
      </c>
    </row>
    <row r="256" spans="1:15">
      <c r="A256" s="17">
        <v>2013</v>
      </c>
      <c r="B256" s="18" t="s">
        <v>481</v>
      </c>
      <c r="C256" s="18" t="s">
        <v>482</v>
      </c>
      <c r="D256" s="19">
        <v>3206092</v>
      </c>
      <c r="E256" s="19">
        <v>2</v>
      </c>
      <c r="F256" s="19"/>
      <c r="G256" s="19">
        <v>20</v>
      </c>
      <c r="H256" s="19">
        <v>1.1000000000000001</v>
      </c>
      <c r="I256" s="19"/>
      <c r="J256" s="19" t="s">
        <v>43</v>
      </c>
      <c r="K256" s="19" t="b">
        <v>1</v>
      </c>
      <c r="L256" s="15">
        <v>2018</v>
      </c>
      <c r="M256" s="16">
        <v>18245387</v>
      </c>
      <c r="N256" s="20">
        <v>41529</v>
      </c>
      <c r="O256" s="20">
        <v>41529</v>
      </c>
    </row>
    <row r="257" spans="1:15">
      <c r="A257" s="17">
        <v>2013</v>
      </c>
      <c r="B257" s="18" t="s">
        <v>481</v>
      </c>
      <c r="C257" s="18" t="s">
        <v>482</v>
      </c>
      <c r="D257" s="19">
        <v>3206092</v>
      </c>
      <c r="E257" s="19">
        <v>2</v>
      </c>
      <c r="F257" s="19"/>
      <c r="G257" s="19">
        <v>550</v>
      </c>
      <c r="H257" s="19">
        <v>10</v>
      </c>
      <c r="I257" s="19"/>
      <c r="J257" s="19" t="s">
        <v>111</v>
      </c>
      <c r="K257" s="19" t="b">
        <v>0</v>
      </c>
      <c r="L257" s="15">
        <v>2025</v>
      </c>
      <c r="M257" s="16">
        <v>743000</v>
      </c>
      <c r="N257" s="20">
        <v>41529</v>
      </c>
      <c r="O257" s="20">
        <v>41529</v>
      </c>
    </row>
    <row r="258" spans="1:15">
      <c r="A258" s="17">
        <v>2013</v>
      </c>
      <c r="B258" s="18" t="s">
        <v>481</v>
      </c>
      <c r="C258" s="18" t="s">
        <v>482</v>
      </c>
      <c r="D258" s="19">
        <v>3206092</v>
      </c>
      <c r="E258" s="19">
        <v>2</v>
      </c>
      <c r="F258" s="19"/>
      <c r="G258" s="19">
        <v>300</v>
      </c>
      <c r="H258" s="19">
        <v>5</v>
      </c>
      <c r="I258" s="19" t="s">
        <v>500</v>
      </c>
      <c r="J258" s="19" t="s">
        <v>83</v>
      </c>
      <c r="K258" s="19" t="b">
        <v>0</v>
      </c>
      <c r="L258" s="15">
        <v>2025</v>
      </c>
      <c r="M258" s="16">
        <v>743000</v>
      </c>
      <c r="N258" s="20">
        <v>41529</v>
      </c>
      <c r="O258" s="20">
        <v>41529</v>
      </c>
    </row>
    <row r="259" spans="1:15">
      <c r="A259" s="17">
        <v>2013</v>
      </c>
      <c r="B259" s="18" t="s">
        <v>481</v>
      </c>
      <c r="C259" s="18" t="s">
        <v>482</v>
      </c>
      <c r="D259" s="19">
        <v>3206092</v>
      </c>
      <c r="E259" s="19">
        <v>2</v>
      </c>
      <c r="F259" s="19"/>
      <c r="G259" s="19">
        <v>880</v>
      </c>
      <c r="H259" s="19">
        <v>14.1</v>
      </c>
      <c r="I259" s="19"/>
      <c r="J259" s="19" t="s">
        <v>154</v>
      </c>
      <c r="K259" s="19" t="b">
        <v>1</v>
      </c>
      <c r="L259" s="15">
        <v>2016</v>
      </c>
      <c r="M259" s="16">
        <v>400000</v>
      </c>
      <c r="N259" s="20">
        <v>41529</v>
      </c>
      <c r="O259" s="20">
        <v>41529</v>
      </c>
    </row>
    <row r="260" spans="1:15">
      <c r="A260" s="17">
        <v>2013</v>
      </c>
      <c r="B260" s="18" t="s">
        <v>481</v>
      </c>
      <c r="C260" s="18" t="s">
        <v>482</v>
      </c>
      <c r="D260" s="19">
        <v>3206092</v>
      </c>
      <c r="E260" s="19">
        <v>2</v>
      </c>
      <c r="F260" s="19"/>
      <c r="G260" s="19">
        <v>50</v>
      </c>
      <c r="H260" s="19" t="s">
        <v>48</v>
      </c>
      <c r="I260" s="19"/>
      <c r="J260" s="19" t="s">
        <v>49</v>
      </c>
      <c r="K260" s="19" t="b">
        <v>1</v>
      </c>
      <c r="L260" s="15">
        <v>2018</v>
      </c>
      <c r="M260" s="16">
        <v>5442000</v>
      </c>
      <c r="N260" s="20">
        <v>41529</v>
      </c>
      <c r="O260" s="20">
        <v>41529</v>
      </c>
    </row>
    <row r="261" spans="1:15">
      <c r="A261" s="17">
        <v>2013</v>
      </c>
      <c r="B261" s="18" t="s">
        <v>481</v>
      </c>
      <c r="C261" s="18" t="s">
        <v>482</v>
      </c>
      <c r="D261" s="19">
        <v>3206092</v>
      </c>
      <c r="E261" s="19">
        <v>2</v>
      </c>
      <c r="F261" s="19"/>
      <c r="G261" s="19">
        <v>200</v>
      </c>
      <c r="H261" s="19">
        <v>3</v>
      </c>
      <c r="I261" s="19" t="s">
        <v>492</v>
      </c>
      <c r="J261" s="19" t="s">
        <v>23</v>
      </c>
      <c r="K261" s="19" t="b">
        <v>0</v>
      </c>
      <c r="L261" s="15">
        <v>2016</v>
      </c>
      <c r="M261" s="16">
        <v>400000</v>
      </c>
      <c r="N261" s="20">
        <v>41529</v>
      </c>
      <c r="O261" s="20">
        <v>41529</v>
      </c>
    </row>
    <row r="262" spans="1:15">
      <c r="A262" s="17">
        <v>2013</v>
      </c>
      <c r="B262" s="18" t="s">
        <v>481</v>
      </c>
      <c r="C262" s="18" t="s">
        <v>482</v>
      </c>
      <c r="D262" s="19">
        <v>3206092</v>
      </c>
      <c r="E262" s="19">
        <v>2</v>
      </c>
      <c r="F262" s="19"/>
      <c r="G262" s="19">
        <v>20</v>
      </c>
      <c r="H262" s="19">
        <v>1.1000000000000001</v>
      </c>
      <c r="I262" s="19"/>
      <c r="J262" s="19" t="s">
        <v>43</v>
      </c>
      <c r="K262" s="19" t="b">
        <v>1</v>
      </c>
      <c r="L262" s="15">
        <v>2014</v>
      </c>
      <c r="M262" s="16">
        <v>16800000</v>
      </c>
      <c r="N262" s="20">
        <v>41529</v>
      </c>
      <c r="O262" s="20">
        <v>41529</v>
      </c>
    </row>
    <row r="263" spans="1:15">
      <c r="A263" s="17">
        <v>2013</v>
      </c>
      <c r="B263" s="18" t="s">
        <v>481</v>
      </c>
      <c r="C263" s="18" t="s">
        <v>482</v>
      </c>
      <c r="D263" s="19">
        <v>3206092</v>
      </c>
      <c r="E263" s="19">
        <v>2</v>
      </c>
      <c r="F263" s="19"/>
      <c r="G263" s="19">
        <v>300</v>
      </c>
      <c r="H263" s="19">
        <v>5</v>
      </c>
      <c r="I263" s="19" t="s">
        <v>500</v>
      </c>
      <c r="J263" s="19" t="s">
        <v>83</v>
      </c>
      <c r="K263" s="19" t="b">
        <v>0</v>
      </c>
      <c r="L263" s="15">
        <v>2017</v>
      </c>
      <c r="M263" s="16">
        <v>600000</v>
      </c>
      <c r="N263" s="20">
        <v>41529</v>
      </c>
      <c r="O263" s="20">
        <v>41529</v>
      </c>
    </row>
    <row r="264" spans="1:15">
      <c r="A264" s="17">
        <v>2013</v>
      </c>
      <c r="B264" s="18" t="s">
        <v>481</v>
      </c>
      <c r="C264" s="18" t="s">
        <v>482</v>
      </c>
      <c r="D264" s="19">
        <v>3206092</v>
      </c>
      <c r="E264" s="19">
        <v>2</v>
      </c>
      <c r="F264" s="19"/>
      <c r="G264" s="19">
        <v>480</v>
      </c>
      <c r="H264" s="19">
        <v>9.4</v>
      </c>
      <c r="I264" s="19" t="s">
        <v>487</v>
      </c>
      <c r="J264" s="19" t="s">
        <v>100</v>
      </c>
      <c r="K264" s="19" t="b">
        <v>0</v>
      </c>
      <c r="L264" s="15">
        <v>2020</v>
      </c>
      <c r="M264" s="16">
        <v>9.11E-2</v>
      </c>
      <c r="N264" s="20">
        <v>41529</v>
      </c>
      <c r="O264" s="20">
        <v>41529</v>
      </c>
    </row>
    <row r="265" spans="1:15">
      <c r="A265" s="17">
        <v>2013</v>
      </c>
      <c r="B265" s="18" t="s">
        <v>481</v>
      </c>
      <c r="C265" s="18" t="s">
        <v>482</v>
      </c>
      <c r="D265" s="19">
        <v>3206092</v>
      </c>
      <c r="E265" s="19">
        <v>2</v>
      </c>
      <c r="F265" s="19"/>
      <c r="G265" s="19">
        <v>60</v>
      </c>
      <c r="H265" s="19" t="s">
        <v>50</v>
      </c>
      <c r="I265" s="19"/>
      <c r="J265" s="19" t="s">
        <v>51</v>
      </c>
      <c r="K265" s="19" t="b">
        <v>1</v>
      </c>
      <c r="L265" s="15">
        <v>2015</v>
      </c>
      <c r="M265" s="16">
        <v>3100000</v>
      </c>
      <c r="N265" s="20">
        <v>41529</v>
      </c>
      <c r="O265" s="20">
        <v>41529</v>
      </c>
    </row>
    <row r="266" spans="1:15">
      <c r="A266" s="17">
        <v>2013</v>
      </c>
      <c r="B266" s="18" t="s">
        <v>481</v>
      </c>
      <c r="C266" s="18" t="s">
        <v>482</v>
      </c>
      <c r="D266" s="19">
        <v>3206092</v>
      </c>
      <c r="E266" s="19">
        <v>2</v>
      </c>
      <c r="F266" s="19"/>
      <c r="G266" s="19">
        <v>180</v>
      </c>
      <c r="H266" s="19" t="s">
        <v>70</v>
      </c>
      <c r="I266" s="19"/>
      <c r="J266" s="19" t="s">
        <v>71</v>
      </c>
      <c r="K266" s="19" t="b">
        <v>0</v>
      </c>
      <c r="L266" s="15">
        <v>2018</v>
      </c>
      <c r="M266" s="16">
        <v>521000</v>
      </c>
      <c r="N266" s="20">
        <v>41529</v>
      </c>
      <c r="O266" s="20">
        <v>41529</v>
      </c>
    </row>
    <row r="267" spans="1:15">
      <c r="A267" s="17">
        <v>2013</v>
      </c>
      <c r="B267" s="18" t="s">
        <v>481</v>
      </c>
      <c r="C267" s="18" t="s">
        <v>482</v>
      </c>
      <c r="D267" s="19">
        <v>3206092</v>
      </c>
      <c r="E267" s="19">
        <v>2</v>
      </c>
      <c r="F267" s="19"/>
      <c r="G267" s="19">
        <v>170</v>
      </c>
      <c r="H267" s="19" t="s">
        <v>68</v>
      </c>
      <c r="I267" s="19"/>
      <c r="J267" s="19" t="s">
        <v>69</v>
      </c>
      <c r="K267" s="19" t="b">
        <v>1</v>
      </c>
      <c r="L267" s="15">
        <v>2018</v>
      </c>
      <c r="M267" s="16">
        <v>521000</v>
      </c>
      <c r="N267" s="20">
        <v>41529</v>
      </c>
      <c r="O267" s="20">
        <v>41529</v>
      </c>
    </row>
    <row r="268" spans="1:15">
      <c r="A268" s="17">
        <v>2013</v>
      </c>
      <c r="B268" s="18" t="s">
        <v>481</v>
      </c>
      <c r="C268" s="18" t="s">
        <v>482</v>
      </c>
      <c r="D268" s="19">
        <v>3206092</v>
      </c>
      <c r="E268" s="19">
        <v>2</v>
      </c>
      <c r="F268" s="19"/>
      <c r="G268" s="19">
        <v>530</v>
      </c>
      <c r="H268" s="19">
        <v>9.8000000000000007</v>
      </c>
      <c r="I268" s="19" t="s">
        <v>486</v>
      </c>
      <c r="J268" s="19" t="s">
        <v>108</v>
      </c>
      <c r="K268" s="19" t="b">
        <v>0</v>
      </c>
      <c r="L268" s="15">
        <v>2025</v>
      </c>
      <c r="M268" s="16">
        <v>959</v>
      </c>
      <c r="N268" s="20">
        <v>41529</v>
      </c>
      <c r="O268" s="20">
        <v>41529</v>
      </c>
    </row>
    <row r="269" spans="1:15">
      <c r="A269" s="17">
        <v>2013</v>
      </c>
      <c r="B269" s="18" t="s">
        <v>481</v>
      </c>
      <c r="C269" s="18" t="s">
        <v>482</v>
      </c>
      <c r="D269" s="19">
        <v>3206092</v>
      </c>
      <c r="E269" s="19">
        <v>2</v>
      </c>
      <c r="F269" s="19"/>
      <c r="G269" s="19">
        <v>10</v>
      </c>
      <c r="H269" s="19">
        <v>1</v>
      </c>
      <c r="I269" s="19" t="s">
        <v>491</v>
      </c>
      <c r="J269" s="19" t="s">
        <v>26</v>
      </c>
      <c r="K269" s="19" t="b">
        <v>1</v>
      </c>
      <c r="L269" s="15">
        <v>2025</v>
      </c>
      <c r="M269" s="16">
        <v>21755625</v>
      </c>
      <c r="N269" s="20">
        <v>41529</v>
      </c>
      <c r="O269" s="20">
        <v>41529</v>
      </c>
    </row>
    <row r="270" spans="1:15">
      <c r="A270" s="17">
        <v>2013</v>
      </c>
      <c r="B270" s="18" t="s">
        <v>481</v>
      </c>
      <c r="C270" s="18" t="s">
        <v>482</v>
      </c>
      <c r="D270" s="19">
        <v>3206092</v>
      </c>
      <c r="E270" s="19">
        <v>2</v>
      </c>
      <c r="F270" s="19"/>
      <c r="G270" s="19">
        <v>420</v>
      </c>
      <c r="H270" s="19">
        <v>8.1</v>
      </c>
      <c r="I270" s="19" t="s">
        <v>494</v>
      </c>
      <c r="J270" s="19" t="s">
        <v>96</v>
      </c>
      <c r="K270" s="19" t="b">
        <v>0</v>
      </c>
      <c r="L270" s="15">
        <v>2021</v>
      </c>
      <c r="M270" s="16">
        <v>2096481</v>
      </c>
      <c r="N270" s="20">
        <v>41529</v>
      </c>
      <c r="O270" s="20">
        <v>41529</v>
      </c>
    </row>
    <row r="271" spans="1:15">
      <c r="A271" s="17">
        <v>2013</v>
      </c>
      <c r="B271" s="18" t="s">
        <v>481</v>
      </c>
      <c r="C271" s="18" t="s">
        <v>482</v>
      </c>
      <c r="D271" s="19">
        <v>3206092</v>
      </c>
      <c r="E271" s="19">
        <v>2</v>
      </c>
      <c r="F271" s="19"/>
      <c r="G271" s="19">
        <v>470</v>
      </c>
      <c r="H271" s="19">
        <v>9.3000000000000007</v>
      </c>
      <c r="I271" s="19" t="s">
        <v>489</v>
      </c>
      <c r="J271" s="19" t="s">
        <v>490</v>
      </c>
      <c r="K271" s="19" t="b">
        <v>1</v>
      </c>
      <c r="L271" s="15">
        <v>2013</v>
      </c>
      <c r="M271" s="16">
        <v>0.1502</v>
      </c>
      <c r="N271" s="20">
        <v>41529</v>
      </c>
      <c r="O271" s="20">
        <v>41529</v>
      </c>
    </row>
    <row r="272" spans="1:15">
      <c r="A272" s="17">
        <v>2013</v>
      </c>
      <c r="B272" s="18" t="s">
        <v>481</v>
      </c>
      <c r="C272" s="18" t="s">
        <v>482</v>
      </c>
      <c r="D272" s="19">
        <v>3206092</v>
      </c>
      <c r="E272" s="19">
        <v>2</v>
      </c>
      <c r="F272" s="19"/>
      <c r="G272" s="19">
        <v>510</v>
      </c>
      <c r="H272" s="19">
        <v>9.6999999999999993</v>
      </c>
      <c r="I272" s="19"/>
      <c r="J272" s="19" t="s">
        <v>484</v>
      </c>
      <c r="K272" s="19" t="b">
        <v>1</v>
      </c>
      <c r="L272" s="15">
        <v>2015</v>
      </c>
      <c r="M272" s="16">
        <v>3.7699999999999997E-2</v>
      </c>
      <c r="N272" s="20">
        <v>41529</v>
      </c>
      <c r="O272" s="20">
        <v>41529</v>
      </c>
    </row>
    <row r="273" spans="1:15">
      <c r="A273" s="17">
        <v>2013</v>
      </c>
      <c r="B273" s="18" t="s">
        <v>481</v>
      </c>
      <c r="C273" s="18" t="s">
        <v>482</v>
      </c>
      <c r="D273" s="19">
        <v>3206092</v>
      </c>
      <c r="E273" s="19">
        <v>2</v>
      </c>
      <c r="F273" s="19"/>
      <c r="G273" s="19">
        <v>10</v>
      </c>
      <c r="H273" s="19">
        <v>1</v>
      </c>
      <c r="I273" s="19" t="s">
        <v>491</v>
      </c>
      <c r="J273" s="19" t="s">
        <v>26</v>
      </c>
      <c r="K273" s="19" t="b">
        <v>1</v>
      </c>
      <c r="L273" s="15">
        <v>2018</v>
      </c>
      <c r="M273" s="16">
        <v>18545387</v>
      </c>
      <c r="N273" s="20">
        <v>41529</v>
      </c>
      <c r="O273" s="20">
        <v>41529</v>
      </c>
    </row>
    <row r="274" spans="1:15">
      <c r="A274" s="17">
        <v>2013</v>
      </c>
      <c r="B274" s="18" t="s">
        <v>481</v>
      </c>
      <c r="C274" s="18" t="s">
        <v>482</v>
      </c>
      <c r="D274" s="19">
        <v>3206092</v>
      </c>
      <c r="E274" s="19">
        <v>2</v>
      </c>
      <c r="F274" s="19"/>
      <c r="G274" s="19">
        <v>30</v>
      </c>
      <c r="H274" s="19" t="s">
        <v>44</v>
      </c>
      <c r="I274" s="19"/>
      <c r="J274" s="19" t="s">
        <v>45</v>
      </c>
      <c r="K274" s="19" t="b">
        <v>1</v>
      </c>
      <c r="L274" s="15">
        <v>2024</v>
      </c>
      <c r="M274" s="16">
        <v>1937000</v>
      </c>
      <c r="N274" s="20">
        <v>41529</v>
      </c>
      <c r="O274" s="20">
        <v>41529</v>
      </c>
    </row>
    <row r="275" spans="1:15">
      <c r="A275" s="17">
        <v>2013</v>
      </c>
      <c r="B275" s="18" t="s">
        <v>481</v>
      </c>
      <c r="C275" s="18" t="s">
        <v>482</v>
      </c>
      <c r="D275" s="19">
        <v>3206092</v>
      </c>
      <c r="E275" s="19">
        <v>2</v>
      </c>
      <c r="F275" s="19"/>
      <c r="G275" s="19">
        <v>450</v>
      </c>
      <c r="H275" s="19">
        <v>9.1</v>
      </c>
      <c r="I275" s="19" t="s">
        <v>489</v>
      </c>
      <c r="J275" s="19" t="s">
        <v>98</v>
      </c>
      <c r="K275" s="19" t="b">
        <v>1</v>
      </c>
      <c r="L275" s="15">
        <v>2020</v>
      </c>
      <c r="M275" s="16">
        <v>9.11E-2</v>
      </c>
      <c r="N275" s="20">
        <v>41529</v>
      </c>
      <c r="O275" s="20">
        <v>41529</v>
      </c>
    </row>
    <row r="276" spans="1:15">
      <c r="A276" s="17">
        <v>2013</v>
      </c>
      <c r="B276" s="18" t="s">
        <v>481</v>
      </c>
      <c r="C276" s="18" t="s">
        <v>482</v>
      </c>
      <c r="D276" s="19">
        <v>3206092</v>
      </c>
      <c r="E276" s="19">
        <v>2</v>
      </c>
      <c r="F276" s="19"/>
      <c r="G276" s="19">
        <v>500</v>
      </c>
      <c r="H276" s="19">
        <v>9.6</v>
      </c>
      <c r="I276" s="19" t="s">
        <v>488</v>
      </c>
      <c r="J276" s="19" t="s">
        <v>102</v>
      </c>
      <c r="K276" s="19" t="b">
        <v>0</v>
      </c>
      <c r="L276" s="15">
        <v>2015</v>
      </c>
      <c r="M276" s="16">
        <v>4.2299999999999997E-2</v>
      </c>
      <c r="N276" s="20">
        <v>41529</v>
      </c>
      <c r="O276" s="20">
        <v>41529</v>
      </c>
    </row>
    <row r="277" spans="1:15">
      <c r="A277" s="17">
        <v>2013</v>
      </c>
      <c r="B277" s="18" t="s">
        <v>481</v>
      </c>
      <c r="C277" s="18" t="s">
        <v>482</v>
      </c>
      <c r="D277" s="19">
        <v>3206092</v>
      </c>
      <c r="E277" s="19">
        <v>2</v>
      </c>
      <c r="F277" s="19"/>
      <c r="G277" s="19">
        <v>380</v>
      </c>
      <c r="H277" s="19">
        <v>6.2</v>
      </c>
      <c r="I277" s="19" t="s">
        <v>495</v>
      </c>
      <c r="J277" s="19" t="s">
        <v>93</v>
      </c>
      <c r="K277" s="19" t="b">
        <v>0</v>
      </c>
      <c r="L277" s="15">
        <v>2020</v>
      </c>
      <c r="M277" s="16">
        <v>0.33660000000000001</v>
      </c>
      <c r="N277" s="20">
        <v>41529</v>
      </c>
      <c r="O277" s="20">
        <v>41529</v>
      </c>
    </row>
    <row r="278" spans="1:15">
      <c r="A278" s="17">
        <v>2013</v>
      </c>
      <c r="B278" s="18" t="s">
        <v>481</v>
      </c>
      <c r="C278" s="18" t="s">
        <v>482</v>
      </c>
      <c r="D278" s="19">
        <v>3206092</v>
      </c>
      <c r="E278" s="19">
        <v>2</v>
      </c>
      <c r="F278" s="19"/>
      <c r="G278" s="19">
        <v>450</v>
      </c>
      <c r="H278" s="19">
        <v>9.1</v>
      </c>
      <c r="I278" s="19" t="s">
        <v>489</v>
      </c>
      <c r="J278" s="19" t="s">
        <v>98</v>
      </c>
      <c r="K278" s="19" t="b">
        <v>1</v>
      </c>
      <c r="L278" s="15">
        <v>2018</v>
      </c>
      <c r="M278" s="16">
        <v>6.0400000000000002E-2</v>
      </c>
      <c r="N278" s="20">
        <v>41529</v>
      </c>
      <c r="O278" s="20">
        <v>41529</v>
      </c>
    </row>
    <row r="279" spans="1:15">
      <c r="A279" s="17">
        <v>2013</v>
      </c>
      <c r="B279" s="18" t="s">
        <v>481</v>
      </c>
      <c r="C279" s="18" t="s">
        <v>482</v>
      </c>
      <c r="D279" s="19">
        <v>3206092</v>
      </c>
      <c r="E279" s="19">
        <v>2</v>
      </c>
      <c r="F279" s="19"/>
      <c r="G279" s="19">
        <v>100</v>
      </c>
      <c r="H279" s="19" t="s">
        <v>57</v>
      </c>
      <c r="I279" s="19"/>
      <c r="J279" s="19" t="s">
        <v>58</v>
      </c>
      <c r="K279" s="19" t="b">
        <v>1</v>
      </c>
      <c r="L279" s="15">
        <v>2015</v>
      </c>
      <c r="M279" s="16">
        <v>300000</v>
      </c>
      <c r="N279" s="20">
        <v>41529</v>
      </c>
      <c r="O279" s="20">
        <v>41529</v>
      </c>
    </row>
    <row r="280" spans="1:15">
      <c r="A280" s="17">
        <v>2013</v>
      </c>
      <c r="B280" s="18" t="s">
        <v>481</v>
      </c>
      <c r="C280" s="18" t="s">
        <v>482</v>
      </c>
      <c r="D280" s="19">
        <v>3206092</v>
      </c>
      <c r="E280" s="19">
        <v>2</v>
      </c>
      <c r="F280" s="19"/>
      <c r="G280" s="19">
        <v>580</v>
      </c>
      <c r="H280" s="19">
        <v>11.1</v>
      </c>
      <c r="I280" s="19"/>
      <c r="J280" s="19" t="s">
        <v>114</v>
      </c>
      <c r="K280" s="19" t="b">
        <v>0</v>
      </c>
      <c r="L280" s="15">
        <v>2017</v>
      </c>
      <c r="M280" s="16">
        <v>7385532</v>
      </c>
      <c r="N280" s="20">
        <v>41529</v>
      </c>
      <c r="O280" s="20">
        <v>41529</v>
      </c>
    </row>
    <row r="281" spans="1:15">
      <c r="A281" s="17">
        <v>2013</v>
      </c>
      <c r="B281" s="18" t="s">
        <v>481</v>
      </c>
      <c r="C281" s="18" t="s">
        <v>482</v>
      </c>
      <c r="D281" s="19">
        <v>3206092</v>
      </c>
      <c r="E281" s="19">
        <v>2</v>
      </c>
      <c r="F281" s="19"/>
      <c r="G281" s="19">
        <v>505</v>
      </c>
      <c r="H281" s="19" t="s">
        <v>103</v>
      </c>
      <c r="I281" s="19" t="s">
        <v>485</v>
      </c>
      <c r="J281" s="19" t="s">
        <v>104</v>
      </c>
      <c r="K281" s="19" t="b">
        <v>0</v>
      </c>
      <c r="L281" s="15">
        <v>2015</v>
      </c>
      <c r="M281" s="16">
        <v>7.5399999999999995E-2</v>
      </c>
      <c r="N281" s="20">
        <v>41529</v>
      </c>
      <c r="O281" s="20">
        <v>41529</v>
      </c>
    </row>
    <row r="282" spans="1:15">
      <c r="A282" s="17">
        <v>2013</v>
      </c>
      <c r="B282" s="18" t="s">
        <v>481</v>
      </c>
      <c r="C282" s="18" t="s">
        <v>482</v>
      </c>
      <c r="D282" s="19">
        <v>3206092</v>
      </c>
      <c r="E282" s="19">
        <v>2</v>
      </c>
      <c r="F282" s="19"/>
      <c r="G282" s="19">
        <v>770</v>
      </c>
      <c r="H282" s="19" t="s">
        <v>141</v>
      </c>
      <c r="I282" s="19"/>
      <c r="J282" s="19" t="s">
        <v>142</v>
      </c>
      <c r="K282" s="19" t="b">
        <v>1</v>
      </c>
      <c r="L282" s="15">
        <v>2013</v>
      </c>
      <c r="M282" s="16">
        <v>1722684</v>
      </c>
      <c r="N282" s="20">
        <v>41529</v>
      </c>
      <c r="O282" s="20">
        <v>41529</v>
      </c>
    </row>
    <row r="283" spans="1:15">
      <c r="A283" s="17">
        <v>2013</v>
      </c>
      <c r="B283" s="18" t="s">
        <v>481</v>
      </c>
      <c r="C283" s="18" t="s">
        <v>482</v>
      </c>
      <c r="D283" s="19">
        <v>3206092</v>
      </c>
      <c r="E283" s="19">
        <v>2</v>
      </c>
      <c r="F283" s="19"/>
      <c r="G283" s="19">
        <v>520</v>
      </c>
      <c r="H283" s="19" t="s">
        <v>106</v>
      </c>
      <c r="I283" s="19"/>
      <c r="J283" s="19" t="s">
        <v>493</v>
      </c>
      <c r="K283" s="19" t="b">
        <v>1</v>
      </c>
      <c r="L283" s="15">
        <v>2013</v>
      </c>
      <c r="M283" s="16">
        <v>1E-4</v>
      </c>
      <c r="N283" s="20">
        <v>41529</v>
      </c>
      <c r="O283" s="20">
        <v>41529</v>
      </c>
    </row>
    <row r="284" spans="1:15">
      <c r="A284" s="17">
        <v>2013</v>
      </c>
      <c r="B284" s="18" t="s">
        <v>481</v>
      </c>
      <c r="C284" s="18" t="s">
        <v>482</v>
      </c>
      <c r="D284" s="19">
        <v>3206092</v>
      </c>
      <c r="E284" s="19">
        <v>2</v>
      </c>
      <c r="F284" s="19"/>
      <c r="G284" s="19">
        <v>30</v>
      </c>
      <c r="H284" s="19" t="s">
        <v>44</v>
      </c>
      <c r="I284" s="19"/>
      <c r="J284" s="19" t="s">
        <v>45</v>
      </c>
      <c r="K284" s="19" t="b">
        <v>1</v>
      </c>
      <c r="L284" s="15">
        <v>2016</v>
      </c>
      <c r="M284" s="16">
        <v>1562000</v>
      </c>
      <c r="N284" s="20">
        <v>41529</v>
      </c>
      <c r="O284" s="20">
        <v>41529</v>
      </c>
    </row>
    <row r="285" spans="1:15">
      <c r="A285" s="17">
        <v>2013</v>
      </c>
      <c r="B285" s="18" t="s">
        <v>481</v>
      </c>
      <c r="C285" s="18" t="s">
        <v>482</v>
      </c>
      <c r="D285" s="19">
        <v>3206092</v>
      </c>
      <c r="E285" s="19">
        <v>2</v>
      </c>
      <c r="F285" s="19"/>
      <c r="G285" s="19">
        <v>750</v>
      </c>
      <c r="H285" s="19" t="s">
        <v>138</v>
      </c>
      <c r="I285" s="19"/>
      <c r="J285" s="19" t="s">
        <v>139</v>
      </c>
      <c r="K285" s="19" t="b">
        <v>0</v>
      </c>
      <c r="L285" s="15">
        <v>2013</v>
      </c>
      <c r="M285" s="16">
        <v>293323.5</v>
      </c>
      <c r="N285" s="20">
        <v>41529</v>
      </c>
      <c r="O285" s="20">
        <v>41529</v>
      </c>
    </row>
    <row r="286" spans="1:15">
      <c r="A286" s="17">
        <v>2013</v>
      </c>
      <c r="B286" s="18" t="s">
        <v>481</v>
      </c>
      <c r="C286" s="18" t="s">
        <v>482</v>
      </c>
      <c r="D286" s="19">
        <v>3206092</v>
      </c>
      <c r="E286" s="19">
        <v>2</v>
      </c>
      <c r="F286" s="19"/>
      <c r="G286" s="19">
        <v>505</v>
      </c>
      <c r="H286" s="19" t="s">
        <v>103</v>
      </c>
      <c r="I286" s="19" t="s">
        <v>485</v>
      </c>
      <c r="J286" s="19" t="s">
        <v>104</v>
      </c>
      <c r="K286" s="19" t="b">
        <v>0</v>
      </c>
      <c r="L286" s="15">
        <v>2020</v>
      </c>
      <c r="M286" s="16">
        <v>8.2299999999999998E-2</v>
      </c>
      <c r="N286" s="20">
        <v>41529</v>
      </c>
      <c r="O286" s="20">
        <v>41529</v>
      </c>
    </row>
    <row r="287" spans="1:15">
      <c r="A287" s="17">
        <v>2013</v>
      </c>
      <c r="B287" s="18" t="s">
        <v>481</v>
      </c>
      <c r="C287" s="18" t="s">
        <v>482</v>
      </c>
      <c r="D287" s="19">
        <v>3206092</v>
      </c>
      <c r="E287" s="19">
        <v>2</v>
      </c>
      <c r="F287" s="19"/>
      <c r="G287" s="19">
        <v>350</v>
      </c>
      <c r="H287" s="19">
        <v>6</v>
      </c>
      <c r="I287" s="19"/>
      <c r="J287" s="19" t="s">
        <v>27</v>
      </c>
      <c r="K287" s="19" t="b">
        <v>1</v>
      </c>
      <c r="L287" s="15">
        <v>2022</v>
      </c>
      <c r="M287" s="16">
        <v>3801000</v>
      </c>
      <c r="N287" s="20">
        <v>41529</v>
      </c>
      <c r="O287" s="20">
        <v>41529</v>
      </c>
    </row>
    <row r="288" spans="1:15">
      <c r="A288" s="17">
        <v>2013</v>
      </c>
      <c r="B288" s="18" t="s">
        <v>481</v>
      </c>
      <c r="C288" s="18" t="s">
        <v>482</v>
      </c>
      <c r="D288" s="19">
        <v>3206092</v>
      </c>
      <c r="E288" s="19">
        <v>2</v>
      </c>
      <c r="F288" s="19"/>
      <c r="G288" s="19">
        <v>30</v>
      </c>
      <c r="H288" s="19" t="s">
        <v>44</v>
      </c>
      <c r="I288" s="19"/>
      <c r="J288" s="19" t="s">
        <v>45</v>
      </c>
      <c r="K288" s="19" t="b">
        <v>1</v>
      </c>
      <c r="L288" s="15">
        <v>2015</v>
      </c>
      <c r="M288" s="16">
        <v>1562000</v>
      </c>
      <c r="N288" s="20">
        <v>41529</v>
      </c>
      <c r="O288" s="20">
        <v>41529</v>
      </c>
    </row>
    <row r="289" spans="1:15">
      <c r="A289" s="17">
        <v>2013</v>
      </c>
      <c r="B289" s="18" t="s">
        <v>481</v>
      </c>
      <c r="C289" s="18" t="s">
        <v>482</v>
      </c>
      <c r="D289" s="19">
        <v>3206092</v>
      </c>
      <c r="E289" s="19">
        <v>2</v>
      </c>
      <c r="F289" s="19"/>
      <c r="G289" s="19">
        <v>505</v>
      </c>
      <c r="H289" s="19" t="s">
        <v>103</v>
      </c>
      <c r="I289" s="19" t="s">
        <v>485</v>
      </c>
      <c r="J289" s="19" t="s">
        <v>104</v>
      </c>
      <c r="K289" s="19" t="b">
        <v>0</v>
      </c>
      <c r="L289" s="15">
        <v>2016</v>
      </c>
      <c r="M289" s="16">
        <v>8.8999999999999996E-2</v>
      </c>
      <c r="N289" s="20">
        <v>41529</v>
      </c>
      <c r="O289" s="20">
        <v>41529</v>
      </c>
    </row>
    <row r="290" spans="1:15">
      <c r="A290" s="17">
        <v>2013</v>
      </c>
      <c r="B290" s="18" t="s">
        <v>481</v>
      </c>
      <c r="C290" s="18" t="s">
        <v>482</v>
      </c>
      <c r="D290" s="19">
        <v>3206092</v>
      </c>
      <c r="E290" s="19">
        <v>2</v>
      </c>
      <c r="F290" s="19"/>
      <c r="G290" s="19">
        <v>310</v>
      </c>
      <c r="H290" s="19">
        <v>5.0999999999999996</v>
      </c>
      <c r="I290" s="19"/>
      <c r="J290" s="19" t="s">
        <v>84</v>
      </c>
      <c r="K290" s="19" t="b">
        <v>1</v>
      </c>
      <c r="L290" s="15">
        <v>2015</v>
      </c>
      <c r="M290" s="16">
        <v>100000</v>
      </c>
      <c r="N290" s="20">
        <v>41529</v>
      </c>
      <c r="O290" s="20">
        <v>41529</v>
      </c>
    </row>
    <row r="291" spans="1:15">
      <c r="A291" s="17">
        <v>2013</v>
      </c>
      <c r="B291" s="18" t="s">
        <v>481</v>
      </c>
      <c r="C291" s="18" t="s">
        <v>482</v>
      </c>
      <c r="D291" s="19">
        <v>3206092</v>
      </c>
      <c r="E291" s="19">
        <v>2</v>
      </c>
      <c r="F291" s="19"/>
      <c r="G291" s="19">
        <v>300</v>
      </c>
      <c r="H291" s="19">
        <v>5</v>
      </c>
      <c r="I291" s="19" t="s">
        <v>500</v>
      </c>
      <c r="J291" s="19" t="s">
        <v>83</v>
      </c>
      <c r="K291" s="19" t="b">
        <v>0</v>
      </c>
      <c r="L291" s="15">
        <v>2018</v>
      </c>
      <c r="M291" s="16">
        <v>600000</v>
      </c>
      <c r="N291" s="20">
        <v>41529</v>
      </c>
      <c r="O291" s="20">
        <v>41529</v>
      </c>
    </row>
    <row r="292" spans="1:15">
      <c r="A292" s="17">
        <v>2013</v>
      </c>
      <c r="B292" s="18" t="s">
        <v>481</v>
      </c>
      <c r="C292" s="18" t="s">
        <v>482</v>
      </c>
      <c r="D292" s="19">
        <v>3206092</v>
      </c>
      <c r="E292" s="19">
        <v>2</v>
      </c>
      <c r="F292" s="19"/>
      <c r="G292" s="19">
        <v>20</v>
      </c>
      <c r="H292" s="19">
        <v>1.1000000000000001</v>
      </c>
      <c r="I292" s="19"/>
      <c r="J292" s="19" t="s">
        <v>43</v>
      </c>
      <c r="K292" s="19" t="b">
        <v>1</v>
      </c>
      <c r="L292" s="15">
        <v>2013</v>
      </c>
      <c r="M292" s="16">
        <v>16467129.5</v>
      </c>
      <c r="N292" s="20">
        <v>41529</v>
      </c>
      <c r="O292" s="20">
        <v>41529</v>
      </c>
    </row>
    <row r="293" spans="1:15">
      <c r="A293" s="17">
        <v>2013</v>
      </c>
      <c r="B293" s="18" t="s">
        <v>481</v>
      </c>
      <c r="C293" s="18" t="s">
        <v>482</v>
      </c>
      <c r="D293" s="19">
        <v>3206092</v>
      </c>
      <c r="E293" s="19">
        <v>2</v>
      </c>
      <c r="F293" s="19"/>
      <c r="G293" s="19">
        <v>90</v>
      </c>
      <c r="H293" s="19">
        <v>1.2</v>
      </c>
      <c r="I293" s="19"/>
      <c r="J293" s="19" t="s">
        <v>56</v>
      </c>
      <c r="K293" s="19" t="b">
        <v>1</v>
      </c>
      <c r="L293" s="15">
        <v>2024</v>
      </c>
      <c r="M293" s="16">
        <v>300000</v>
      </c>
      <c r="N293" s="20">
        <v>41529</v>
      </c>
      <c r="O293" s="20">
        <v>41529</v>
      </c>
    </row>
    <row r="294" spans="1:15">
      <c r="A294" s="17">
        <v>2013</v>
      </c>
      <c r="B294" s="18" t="s">
        <v>481</v>
      </c>
      <c r="C294" s="18" t="s">
        <v>482</v>
      </c>
      <c r="D294" s="19">
        <v>3206092</v>
      </c>
      <c r="E294" s="19">
        <v>2</v>
      </c>
      <c r="F294" s="19"/>
      <c r="G294" s="19">
        <v>430</v>
      </c>
      <c r="H294" s="19">
        <v>8.1999999999999993</v>
      </c>
      <c r="I294" s="19" t="s">
        <v>483</v>
      </c>
      <c r="J294" s="19" t="s">
        <v>97</v>
      </c>
      <c r="K294" s="19" t="b">
        <v>0</v>
      </c>
      <c r="L294" s="15">
        <v>2018</v>
      </c>
      <c r="M294" s="16">
        <v>1504150</v>
      </c>
      <c r="N294" s="20">
        <v>41529</v>
      </c>
      <c r="O294" s="20">
        <v>41529</v>
      </c>
    </row>
    <row r="295" spans="1:15">
      <c r="A295" s="17">
        <v>2013</v>
      </c>
      <c r="B295" s="18" t="s">
        <v>481</v>
      </c>
      <c r="C295" s="18" t="s">
        <v>482</v>
      </c>
      <c r="D295" s="19">
        <v>3206092</v>
      </c>
      <c r="E295" s="19">
        <v>2</v>
      </c>
      <c r="F295" s="19"/>
      <c r="G295" s="19">
        <v>310</v>
      </c>
      <c r="H295" s="19">
        <v>5.0999999999999996</v>
      </c>
      <c r="I295" s="19"/>
      <c r="J295" s="19" t="s">
        <v>84</v>
      </c>
      <c r="K295" s="19" t="b">
        <v>1</v>
      </c>
      <c r="L295" s="15">
        <v>2016</v>
      </c>
      <c r="M295" s="16">
        <v>400000</v>
      </c>
      <c r="N295" s="20">
        <v>41529</v>
      </c>
      <c r="O295" s="20">
        <v>41529</v>
      </c>
    </row>
    <row r="296" spans="1:15">
      <c r="A296" s="17">
        <v>2013</v>
      </c>
      <c r="B296" s="18" t="s">
        <v>481</v>
      </c>
      <c r="C296" s="18" t="s">
        <v>482</v>
      </c>
      <c r="D296" s="19">
        <v>3206092</v>
      </c>
      <c r="E296" s="19">
        <v>2</v>
      </c>
      <c r="F296" s="19"/>
      <c r="G296" s="19">
        <v>460</v>
      </c>
      <c r="H296" s="19">
        <v>9.1999999999999993</v>
      </c>
      <c r="I296" s="19" t="s">
        <v>487</v>
      </c>
      <c r="J296" s="19" t="s">
        <v>99</v>
      </c>
      <c r="K296" s="19" t="b">
        <v>0</v>
      </c>
      <c r="L296" s="15">
        <v>2013</v>
      </c>
      <c r="M296" s="16">
        <v>0.126</v>
      </c>
      <c r="N296" s="20">
        <v>41529</v>
      </c>
      <c r="O296" s="20">
        <v>41529</v>
      </c>
    </row>
    <row r="297" spans="1:15">
      <c r="A297" s="17">
        <v>2013</v>
      </c>
      <c r="B297" s="18" t="s">
        <v>481</v>
      </c>
      <c r="C297" s="18" t="s">
        <v>482</v>
      </c>
      <c r="D297" s="19">
        <v>3206092</v>
      </c>
      <c r="E297" s="19">
        <v>2</v>
      </c>
      <c r="F297" s="19"/>
      <c r="G297" s="19">
        <v>580</v>
      </c>
      <c r="H297" s="19">
        <v>11.1</v>
      </c>
      <c r="I297" s="19"/>
      <c r="J297" s="19" t="s">
        <v>114</v>
      </c>
      <c r="K297" s="19" t="b">
        <v>0</v>
      </c>
      <c r="L297" s="15">
        <v>2025</v>
      </c>
      <c r="M297" s="16">
        <v>9355771</v>
      </c>
      <c r="N297" s="20">
        <v>41529</v>
      </c>
      <c r="O297" s="20">
        <v>41529</v>
      </c>
    </row>
    <row r="298" spans="1:15">
      <c r="A298" s="17">
        <v>2013</v>
      </c>
      <c r="B298" s="18" t="s">
        <v>481</v>
      </c>
      <c r="C298" s="18" t="s">
        <v>482</v>
      </c>
      <c r="D298" s="19">
        <v>3206092</v>
      </c>
      <c r="E298" s="19">
        <v>2</v>
      </c>
      <c r="F298" s="19"/>
      <c r="G298" s="19">
        <v>40</v>
      </c>
      <c r="H298" s="19" t="s">
        <v>46</v>
      </c>
      <c r="I298" s="19"/>
      <c r="J298" s="19" t="s">
        <v>47</v>
      </c>
      <c r="K298" s="19" t="b">
        <v>1</v>
      </c>
      <c r="L298" s="15">
        <v>2015</v>
      </c>
      <c r="M298" s="16">
        <v>7000</v>
      </c>
      <c r="N298" s="20">
        <v>41529</v>
      </c>
      <c r="O298" s="20">
        <v>41529</v>
      </c>
    </row>
    <row r="299" spans="1:15">
      <c r="A299" s="17">
        <v>2013</v>
      </c>
      <c r="B299" s="18" t="s">
        <v>481</v>
      </c>
      <c r="C299" s="18" t="s">
        <v>482</v>
      </c>
      <c r="D299" s="19">
        <v>3206092</v>
      </c>
      <c r="E299" s="19">
        <v>2</v>
      </c>
      <c r="F299" s="19"/>
      <c r="G299" s="19">
        <v>580</v>
      </c>
      <c r="H299" s="19">
        <v>11.1</v>
      </c>
      <c r="I299" s="19"/>
      <c r="J299" s="19" t="s">
        <v>114</v>
      </c>
      <c r="K299" s="19" t="b">
        <v>0</v>
      </c>
      <c r="L299" s="15">
        <v>2015</v>
      </c>
      <c r="M299" s="16">
        <v>6961573</v>
      </c>
      <c r="N299" s="20">
        <v>41529</v>
      </c>
      <c r="O299" s="20">
        <v>41529</v>
      </c>
    </row>
    <row r="300" spans="1:15">
      <c r="A300" s="17">
        <v>2013</v>
      </c>
      <c r="B300" s="18" t="s">
        <v>481</v>
      </c>
      <c r="C300" s="18" t="s">
        <v>482</v>
      </c>
      <c r="D300" s="19">
        <v>3206092</v>
      </c>
      <c r="E300" s="19">
        <v>2</v>
      </c>
      <c r="F300" s="19"/>
      <c r="G300" s="19">
        <v>420</v>
      </c>
      <c r="H300" s="19">
        <v>8.1</v>
      </c>
      <c r="I300" s="19" t="s">
        <v>494</v>
      </c>
      <c r="J300" s="19" t="s">
        <v>96</v>
      </c>
      <c r="K300" s="19" t="b">
        <v>0</v>
      </c>
      <c r="L300" s="15">
        <v>2014</v>
      </c>
      <c r="M300" s="16">
        <v>527017</v>
      </c>
      <c r="N300" s="20">
        <v>41529</v>
      </c>
      <c r="O300" s="20">
        <v>41529</v>
      </c>
    </row>
    <row r="301" spans="1:15">
      <c r="A301" s="17">
        <v>2013</v>
      </c>
      <c r="B301" s="18" t="s">
        <v>481</v>
      </c>
      <c r="C301" s="18" t="s">
        <v>482</v>
      </c>
      <c r="D301" s="19">
        <v>3206092</v>
      </c>
      <c r="E301" s="19">
        <v>2</v>
      </c>
      <c r="F301" s="19"/>
      <c r="G301" s="19">
        <v>560</v>
      </c>
      <c r="H301" s="19">
        <v>10.1</v>
      </c>
      <c r="I301" s="19"/>
      <c r="J301" s="19" t="s">
        <v>112</v>
      </c>
      <c r="K301" s="19" t="b">
        <v>0</v>
      </c>
      <c r="L301" s="15">
        <v>2021</v>
      </c>
      <c r="M301" s="16">
        <v>1200000</v>
      </c>
      <c r="N301" s="20">
        <v>41529</v>
      </c>
      <c r="O301" s="20">
        <v>41529</v>
      </c>
    </row>
    <row r="302" spans="1:15">
      <c r="A302" s="17">
        <v>2013</v>
      </c>
      <c r="B302" s="18" t="s">
        <v>481</v>
      </c>
      <c r="C302" s="18" t="s">
        <v>482</v>
      </c>
      <c r="D302" s="19">
        <v>3206092</v>
      </c>
      <c r="E302" s="19">
        <v>2</v>
      </c>
      <c r="F302" s="19"/>
      <c r="G302" s="19">
        <v>10</v>
      </c>
      <c r="H302" s="19">
        <v>1</v>
      </c>
      <c r="I302" s="19" t="s">
        <v>491</v>
      </c>
      <c r="J302" s="19" t="s">
        <v>26</v>
      </c>
      <c r="K302" s="19" t="b">
        <v>1</v>
      </c>
      <c r="L302" s="15">
        <v>2020</v>
      </c>
      <c r="M302" s="16">
        <v>18807811</v>
      </c>
      <c r="N302" s="20">
        <v>41529</v>
      </c>
      <c r="O302" s="20">
        <v>41529</v>
      </c>
    </row>
    <row r="303" spans="1:15">
      <c r="A303" s="17">
        <v>2013</v>
      </c>
      <c r="B303" s="18" t="s">
        <v>481</v>
      </c>
      <c r="C303" s="18" t="s">
        <v>482</v>
      </c>
      <c r="D303" s="19">
        <v>3206092</v>
      </c>
      <c r="E303" s="19">
        <v>2</v>
      </c>
      <c r="F303" s="19"/>
      <c r="G303" s="19">
        <v>510</v>
      </c>
      <c r="H303" s="19">
        <v>9.6999999999999993</v>
      </c>
      <c r="I303" s="19"/>
      <c r="J303" s="19" t="s">
        <v>484</v>
      </c>
      <c r="K303" s="19" t="b">
        <v>1</v>
      </c>
      <c r="L303" s="15">
        <v>2013</v>
      </c>
      <c r="M303" s="16">
        <v>-9.5999999999999992E-3</v>
      </c>
      <c r="N303" s="20">
        <v>41529</v>
      </c>
      <c r="O303" s="20">
        <v>41529</v>
      </c>
    </row>
    <row r="304" spans="1:15">
      <c r="A304" s="17">
        <v>2013</v>
      </c>
      <c r="B304" s="18" t="s">
        <v>481</v>
      </c>
      <c r="C304" s="18" t="s">
        <v>482</v>
      </c>
      <c r="D304" s="19">
        <v>3206092</v>
      </c>
      <c r="E304" s="19">
        <v>2</v>
      </c>
      <c r="F304" s="19"/>
      <c r="G304" s="19">
        <v>510</v>
      </c>
      <c r="H304" s="19">
        <v>9.6999999999999993</v>
      </c>
      <c r="I304" s="19"/>
      <c r="J304" s="19" t="s">
        <v>484</v>
      </c>
      <c r="K304" s="19" t="b">
        <v>1</v>
      </c>
      <c r="L304" s="15">
        <v>2024</v>
      </c>
      <c r="M304" s="16">
        <v>0.12759999999999999</v>
      </c>
      <c r="N304" s="20">
        <v>41529</v>
      </c>
      <c r="O304" s="20">
        <v>41529</v>
      </c>
    </row>
    <row r="305" spans="1:15">
      <c r="A305" s="17">
        <v>2013</v>
      </c>
      <c r="B305" s="18" t="s">
        <v>481</v>
      </c>
      <c r="C305" s="18" t="s">
        <v>482</v>
      </c>
      <c r="D305" s="19">
        <v>3206092</v>
      </c>
      <c r="E305" s="19">
        <v>2</v>
      </c>
      <c r="F305" s="19"/>
      <c r="G305" s="19">
        <v>350</v>
      </c>
      <c r="H305" s="19">
        <v>6</v>
      </c>
      <c r="I305" s="19"/>
      <c r="J305" s="19" t="s">
        <v>27</v>
      </c>
      <c r="K305" s="19" t="b">
        <v>1</v>
      </c>
      <c r="L305" s="15">
        <v>2015</v>
      </c>
      <c r="M305" s="16">
        <v>10431000</v>
      </c>
      <c r="N305" s="20">
        <v>41529</v>
      </c>
      <c r="O305" s="20">
        <v>41529</v>
      </c>
    </row>
    <row r="306" spans="1:15">
      <c r="A306" s="17">
        <v>2013</v>
      </c>
      <c r="B306" s="18" t="s">
        <v>481</v>
      </c>
      <c r="C306" s="18" t="s">
        <v>482</v>
      </c>
      <c r="D306" s="19">
        <v>3206092</v>
      </c>
      <c r="E306" s="19">
        <v>2</v>
      </c>
      <c r="F306" s="19"/>
      <c r="G306" s="19">
        <v>510</v>
      </c>
      <c r="H306" s="19">
        <v>9.6999999999999993</v>
      </c>
      <c r="I306" s="19"/>
      <c r="J306" s="19" t="s">
        <v>484</v>
      </c>
      <c r="K306" s="19" t="b">
        <v>1</v>
      </c>
      <c r="L306" s="15">
        <v>2014</v>
      </c>
      <c r="M306" s="16">
        <v>2.7E-2</v>
      </c>
      <c r="N306" s="20">
        <v>41529</v>
      </c>
      <c r="O306" s="20">
        <v>41529</v>
      </c>
    </row>
    <row r="307" spans="1:15">
      <c r="A307" s="17">
        <v>2013</v>
      </c>
      <c r="B307" s="18" t="s">
        <v>481</v>
      </c>
      <c r="C307" s="18" t="s">
        <v>482</v>
      </c>
      <c r="D307" s="19">
        <v>3206092</v>
      </c>
      <c r="E307" s="19">
        <v>2</v>
      </c>
      <c r="F307" s="19"/>
      <c r="G307" s="19">
        <v>480</v>
      </c>
      <c r="H307" s="19">
        <v>9.4</v>
      </c>
      <c r="I307" s="19" t="s">
        <v>487</v>
      </c>
      <c r="J307" s="19" t="s">
        <v>100</v>
      </c>
      <c r="K307" s="19" t="b">
        <v>0</v>
      </c>
      <c r="L307" s="15">
        <v>2015</v>
      </c>
      <c r="M307" s="16">
        <v>4.2299999999999997E-2</v>
      </c>
      <c r="N307" s="20">
        <v>41529</v>
      </c>
      <c r="O307" s="20">
        <v>41529</v>
      </c>
    </row>
    <row r="308" spans="1:15">
      <c r="A308" s="17">
        <v>2013</v>
      </c>
      <c r="B308" s="18" t="s">
        <v>481</v>
      </c>
      <c r="C308" s="18" t="s">
        <v>482</v>
      </c>
      <c r="D308" s="19">
        <v>3206092</v>
      </c>
      <c r="E308" s="19">
        <v>2</v>
      </c>
      <c r="F308" s="19"/>
      <c r="G308" s="19">
        <v>100</v>
      </c>
      <c r="H308" s="19" t="s">
        <v>57</v>
      </c>
      <c r="I308" s="19"/>
      <c r="J308" s="19" t="s">
        <v>58</v>
      </c>
      <c r="K308" s="19" t="b">
        <v>1</v>
      </c>
      <c r="L308" s="15">
        <v>2017</v>
      </c>
      <c r="M308" s="16">
        <v>300000</v>
      </c>
      <c r="N308" s="20">
        <v>41529</v>
      </c>
      <c r="O308" s="20">
        <v>41529</v>
      </c>
    </row>
    <row r="309" spans="1:15">
      <c r="A309" s="17">
        <v>2013</v>
      </c>
      <c r="B309" s="18" t="s">
        <v>481</v>
      </c>
      <c r="C309" s="18" t="s">
        <v>482</v>
      </c>
      <c r="D309" s="19">
        <v>3206092</v>
      </c>
      <c r="E309" s="19">
        <v>2</v>
      </c>
      <c r="F309" s="19"/>
      <c r="G309" s="19">
        <v>470</v>
      </c>
      <c r="H309" s="19">
        <v>9.3000000000000007</v>
      </c>
      <c r="I309" s="19" t="s">
        <v>489</v>
      </c>
      <c r="J309" s="19" t="s">
        <v>490</v>
      </c>
      <c r="K309" s="19" t="b">
        <v>1</v>
      </c>
      <c r="L309" s="15">
        <v>2014</v>
      </c>
      <c r="M309" s="16">
        <v>7.9399999999999998E-2</v>
      </c>
      <c r="N309" s="20">
        <v>41529</v>
      </c>
      <c r="O309" s="20">
        <v>41529</v>
      </c>
    </row>
    <row r="310" spans="1:15">
      <c r="A310" s="17">
        <v>2013</v>
      </c>
      <c r="B310" s="18" t="s">
        <v>481</v>
      </c>
      <c r="C310" s="18" t="s">
        <v>482</v>
      </c>
      <c r="D310" s="19">
        <v>3206092</v>
      </c>
      <c r="E310" s="19">
        <v>2</v>
      </c>
      <c r="F310" s="19"/>
      <c r="G310" s="19">
        <v>80</v>
      </c>
      <c r="H310" s="19" t="s">
        <v>54</v>
      </c>
      <c r="I310" s="19"/>
      <c r="J310" s="19" t="s">
        <v>55</v>
      </c>
      <c r="K310" s="19" t="b">
        <v>1</v>
      </c>
      <c r="L310" s="15">
        <v>2022</v>
      </c>
      <c r="M310" s="16">
        <v>4200000</v>
      </c>
      <c r="N310" s="20">
        <v>41529</v>
      </c>
      <c r="O310" s="20">
        <v>41529</v>
      </c>
    </row>
    <row r="311" spans="1:15">
      <c r="A311" s="17">
        <v>2013</v>
      </c>
      <c r="B311" s="18" t="s">
        <v>481</v>
      </c>
      <c r="C311" s="18" t="s">
        <v>482</v>
      </c>
      <c r="D311" s="19">
        <v>3206092</v>
      </c>
      <c r="E311" s="19">
        <v>2</v>
      </c>
      <c r="F311" s="19"/>
      <c r="G311" s="19">
        <v>880</v>
      </c>
      <c r="H311" s="19">
        <v>14.1</v>
      </c>
      <c r="I311" s="19"/>
      <c r="J311" s="19" t="s">
        <v>154</v>
      </c>
      <c r="K311" s="19" t="b">
        <v>1</v>
      </c>
      <c r="L311" s="15">
        <v>2013</v>
      </c>
      <c r="M311" s="16">
        <v>2105000</v>
      </c>
      <c r="N311" s="20">
        <v>41529</v>
      </c>
      <c r="O311" s="20">
        <v>41529</v>
      </c>
    </row>
    <row r="312" spans="1:15">
      <c r="A312" s="17">
        <v>2013</v>
      </c>
      <c r="B312" s="18" t="s">
        <v>481</v>
      </c>
      <c r="C312" s="18" t="s">
        <v>482</v>
      </c>
      <c r="D312" s="19">
        <v>3206092</v>
      </c>
      <c r="E312" s="19">
        <v>2</v>
      </c>
      <c r="F312" s="19"/>
      <c r="G312" s="19">
        <v>120</v>
      </c>
      <c r="H312" s="19">
        <v>2</v>
      </c>
      <c r="I312" s="19" t="s">
        <v>496</v>
      </c>
      <c r="J312" s="19" t="s">
        <v>21</v>
      </c>
      <c r="K312" s="19" t="b">
        <v>0</v>
      </c>
      <c r="L312" s="15">
        <v>2024</v>
      </c>
      <c r="M312" s="16">
        <v>19582704</v>
      </c>
      <c r="N312" s="20">
        <v>41529</v>
      </c>
      <c r="O312" s="20">
        <v>41529</v>
      </c>
    </row>
    <row r="313" spans="1:15">
      <c r="A313" s="17">
        <v>2013</v>
      </c>
      <c r="B313" s="18" t="s">
        <v>481</v>
      </c>
      <c r="C313" s="18" t="s">
        <v>482</v>
      </c>
      <c r="D313" s="19">
        <v>3206092</v>
      </c>
      <c r="E313" s="19">
        <v>2</v>
      </c>
      <c r="F313" s="19"/>
      <c r="G313" s="19">
        <v>30</v>
      </c>
      <c r="H313" s="19" t="s">
        <v>44</v>
      </c>
      <c r="I313" s="19"/>
      <c r="J313" s="19" t="s">
        <v>45</v>
      </c>
      <c r="K313" s="19" t="b">
        <v>1</v>
      </c>
      <c r="L313" s="15">
        <v>2017</v>
      </c>
      <c r="M313" s="16">
        <v>1575000</v>
      </c>
      <c r="N313" s="20">
        <v>41529</v>
      </c>
      <c r="O313" s="20">
        <v>41529</v>
      </c>
    </row>
    <row r="314" spans="1:15">
      <c r="A314" s="17">
        <v>2013</v>
      </c>
      <c r="B314" s="18" t="s">
        <v>481</v>
      </c>
      <c r="C314" s="18" t="s">
        <v>482</v>
      </c>
      <c r="D314" s="19">
        <v>3206092</v>
      </c>
      <c r="E314" s="19">
        <v>2</v>
      </c>
      <c r="F314" s="19"/>
      <c r="G314" s="19">
        <v>360</v>
      </c>
      <c r="H314" s="19">
        <v>6.1</v>
      </c>
      <c r="I314" s="19"/>
      <c r="J314" s="19" t="s">
        <v>502</v>
      </c>
      <c r="K314" s="19" t="b">
        <v>1</v>
      </c>
      <c r="L314" s="15">
        <v>2013</v>
      </c>
      <c r="M314" s="16">
        <v>2599177.14</v>
      </c>
      <c r="N314" s="20">
        <v>41529</v>
      </c>
      <c r="O314" s="20">
        <v>41529</v>
      </c>
    </row>
    <row r="315" spans="1:15">
      <c r="A315" s="17">
        <v>2013</v>
      </c>
      <c r="B315" s="18" t="s">
        <v>481</v>
      </c>
      <c r="C315" s="18" t="s">
        <v>482</v>
      </c>
      <c r="D315" s="19">
        <v>3206092</v>
      </c>
      <c r="E315" s="19">
        <v>2</v>
      </c>
      <c r="F315" s="19"/>
      <c r="G315" s="19">
        <v>310</v>
      </c>
      <c r="H315" s="19">
        <v>5.0999999999999996</v>
      </c>
      <c r="I315" s="19"/>
      <c r="J315" s="19" t="s">
        <v>84</v>
      </c>
      <c r="K315" s="19" t="b">
        <v>1</v>
      </c>
      <c r="L315" s="15">
        <v>2013</v>
      </c>
      <c r="M315" s="16">
        <v>2105000</v>
      </c>
      <c r="N315" s="20">
        <v>41529</v>
      </c>
      <c r="O315" s="20">
        <v>41529</v>
      </c>
    </row>
    <row r="316" spans="1:15">
      <c r="A316" s="17">
        <v>2013</v>
      </c>
      <c r="B316" s="18" t="s">
        <v>481</v>
      </c>
      <c r="C316" s="18" t="s">
        <v>482</v>
      </c>
      <c r="D316" s="19">
        <v>3206092</v>
      </c>
      <c r="E316" s="19">
        <v>2</v>
      </c>
      <c r="F316" s="19"/>
      <c r="G316" s="19">
        <v>520</v>
      </c>
      <c r="H316" s="19" t="s">
        <v>106</v>
      </c>
      <c r="I316" s="19"/>
      <c r="J316" s="19" t="s">
        <v>493</v>
      </c>
      <c r="K316" s="19" t="b">
        <v>1</v>
      </c>
      <c r="L316" s="15">
        <v>2023</v>
      </c>
      <c r="M316" s="16">
        <v>0.11119999999999999</v>
      </c>
      <c r="N316" s="20">
        <v>41529</v>
      </c>
      <c r="O316" s="20">
        <v>41529</v>
      </c>
    </row>
    <row r="317" spans="1:15">
      <c r="A317" s="17">
        <v>2013</v>
      </c>
      <c r="B317" s="18" t="s">
        <v>481</v>
      </c>
      <c r="C317" s="18" t="s">
        <v>482</v>
      </c>
      <c r="D317" s="19">
        <v>3206092</v>
      </c>
      <c r="E317" s="19">
        <v>2</v>
      </c>
      <c r="F317" s="19"/>
      <c r="G317" s="19">
        <v>40</v>
      </c>
      <c r="H317" s="19" t="s">
        <v>46</v>
      </c>
      <c r="I317" s="19"/>
      <c r="J317" s="19" t="s">
        <v>47</v>
      </c>
      <c r="K317" s="19" t="b">
        <v>1</v>
      </c>
      <c r="L317" s="15">
        <v>2024</v>
      </c>
      <c r="M317" s="16">
        <v>15000</v>
      </c>
      <c r="N317" s="20">
        <v>41529</v>
      </c>
      <c r="O317" s="20">
        <v>41529</v>
      </c>
    </row>
    <row r="318" spans="1:15">
      <c r="A318" s="17">
        <v>2013</v>
      </c>
      <c r="B318" s="18" t="s">
        <v>481</v>
      </c>
      <c r="C318" s="18" t="s">
        <v>482</v>
      </c>
      <c r="D318" s="19">
        <v>3206092</v>
      </c>
      <c r="E318" s="19">
        <v>2</v>
      </c>
      <c r="F318" s="19"/>
      <c r="G318" s="19">
        <v>600</v>
      </c>
      <c r="H318" s="19">
        <v>11.3</v>
      </c>
      <c r="I318" s="19" t="s">
        <v>503</v>
      </c>
      <c r="J318" s="19" t="s">
        <v>116</v>
      </c>
      <c r="K318" s="19" t="b">
        <v>1</v>
      </c>
      <c r="L318" s="15">
        <v>2013</v>
      </c>
      <c r="M318" s="16">
        <v>3145713</v>
      </c>
      <c r="N318" s="20">
        <v>41529</v>
      </c>
      <c r="O318" s="20">
        <v>41529</v>
      </c>
    </row>
    <row r="319" spans="1:15">
      <c r="A319" s="17">
        <v>2013</v>
      </c>
      <c r="B319" s="18" t="s">
        <v>481</v>
      </c>
      <c r="C319" s="18" t="s">
        <v>482</v>
      </c>
      <c r="D319" s="19">
        <v>3206092</v>
      </c>
      <c r="E319" s="19">
        <v>2</v>
      </c>
      <c r="F319" s="19"/>
      <c r="G319" s="19">
        <v>300</v>
      </c>
      <c r="H319" s="19">
        <v>5</v>
      </c>
      <c r="I319" s="19" t="s">
        <v>500</v>
      </c>
      <c r="J319" s="19" t="s">
        <v>83</v>
      </c>
      <c r="K319" s="19" t="b">
        <v>0</v>
      </c>
      <c r="L319" s="15">
        <v>2013</v>
      </c>
      <c r="M319" s="16">
        <v>2105000</v>
      </c>
      <c r="N319" s="20">
        <v>41529</v>
      </c>
      <c r="O319" s="20">
        <v>41529</v>
      </c>
    </row>
    <row r="320" spans="1:15">
      <c r="A320" s="17">
        <v>2013</v>
      </c>
      <c r="B320" s="18" t="s">
        <v>481</v>
      </c>
      <c r="C320" s="18" t="s">
        <v>482</v>
      </c>
      <c r="D320" s="19">
        <v>3206092</v>
      </c>
      <c r="E320" s="19">
        <v>2</v>
      </c>
      <c r="F320" s="19"/>
      <c r="G320" s="19">
        <v>590</v>
      </c>
      <c r="H320" s="19">
        <v>11.2</v>
      </c>
      <c r="I320" s="19"/>
      <c r="J320" s="19" t="s">
        <v>115</v>
      </c>
      <c r="K320" s="19" t="b">
        <v>1</v>
      </c>
      <c r="L320" s="15">
        <v>2021</v>
      </c>
      <c r="M320" s="16">
        <v>3800000</v>
      </c>
      <c r="N320" s="20">
        <v>41529</v>
      </c>
      <c r="O320" s="20">
        <v>41529</v>
      </c>
    </row>
    <row r="321" spans="1:15">
      <c r="A321" s="17">
        <v>2013</v>
      </c>
      <c r="B321" s="18" t="s">
        <v>481</v>
      </c>
      <c r="C321" s="18" t="s">
        <v>482</v>
      </c>
      <c r="D321" s="19">
        <v>3206092</v>
      </c>
      <c r="E321" s="19">
        <v>2</v>
      </c>
      <c r="F321" s="19"/>
      <c r="G321" s="19">
        <v>720</v>
      </c>
      <c r="H321" s="19" t="s">
        <v>133</v>
      </c>
      <c r="I321" s="19"/>
      <c r="J321" s="19" t="s">
        <v>134</v>
      </c>
      <c r="K321" s="19" t="b">
        <v>0</v>
      </c>
      <c r="L321" s="15">
        <v>2014</v>
      </c>
      <c r="M321" s="16">
        <v>671413</v>
      </c>
      <c r="N321" s="20">
        <v>41529</v>
      </c>
      <c r="O321" s="20">
        <v>41529</v>
      </c>
    </row>
    <row r="322" spans="1:15">
      <c r="A322" s="17">
        <v>2013</v>
      </c>
      <c r="B322" s="18" t="s">
        <v>481</v>
      </c>
      <c r="C322" s="18" t="s">
        <v>482</v>
      </c>
      <c r="D322" s="19">
        <v>3206092</v>
      </c>
      <c r="E322" s="19">
        <v>2</v>
      </c>
      <c r="F322" s="19"/>
      <c r="G322" s="19">
        <v>10</v>
      </c>
      <c r="H322" s="19">
        <v>1</v>
      </c>
      <c r="I322" s="19" t="s">
        <v>491</v>
      </c>
      <c r="J322" s="19" t="s">
        <v>26</v>
      </c>
      <c r="K322" s="19" t="b">
        <v>1</v>
      </c>
      <c r="L322" s="15">
        <v>2016</v>
      </c>
      <c r="M322" s="16">
        <v>17943950</v>
      </c>
      <c r="N322" s="20">
        <v>41529</v>
      </c>
      <c r="O322" s="20">
        <v>41529</v>
      </c>
    </row>
    <row r="323" spans="1:15">
      <c r="A323" s="17">
        <v>2013</v>
      </c>
      <c r="B323" s="18" t="s">
        <v>481</v>
      </c>
      <c r="C323" s="18" t="s">
        <v>482</v>
      </c>
      <c r="D323" s="19">
        <v>3206092</v>
      </c>
      <c r="E323" s="19">
        <v>2</v>
      </c>
      <c r="F323" s="19"/>
      <c r="G323" s="19">
        <v>100</v>
      </c>
      <c r="H323" s="19" t="s">
        <v>57</v>
      </c>
      <c r="I323" s="19"/>
      <c r="J323" s="19" t="s">
        <v>58</v>
      </c>
      <c r="K323" s="19" t="b">
        <v>1</v>
      </c>
      <c r="L323" s="15">
        <v>2013</v>
      </c>
      <c r="M323" s="16">
        <v>1620000</v>
      </c>
      <c r="N323" s="20">
        <v>41529</v>
      </c>
      <c r="O323" s="20">
        <v>41529</v>
      </c>
    </row>
    <row r="324" spans="1:15">
      <c r="A324" s="17">
        <v>2013</v>
      </c>
      <c r="B324" s="18" t="s">
        <v>481</v>
      </c>
      <c r="C324" s="18" t="s">
        <v>482</v>
      </c>
      <c r="D324" s="19">
        <v>3206092</v>
      </c>
      <c r="E324" s="19">
        <v>2</v>
      </c>
      <c r="F324" s="19"/>
      <c r="G324" s="19">
        <v>390</v>
      </c>
      <c r="H324" s="19">
        <v>6.3</v>
      </c>
      <c r="I324" s="19" t="s">
        <v>498</v>
      </c>
      <c r="J324" s="19" t="s">
        <v>94</v>
      </c>
      <c r="K324" s="19" t="b">
        <v>0</v>
      </c>
      <c r="L324" s="15">
        <v>2023</v>
      </c>
      <c r="M324" s="16">
        <v>0.1116</v>
      </c>
      <c r="N324" s="20">
        <v>41529</v>
      </c>
      <c r="O324" s="20">
        <v>41529</v>
      </c>
    </row>
    <row r="325" spans="1:15">
      <c r="A325" s="17">
        <v>2013</v>
      </c>
      <c r="B325" s="18" t="s">
        <v>481</v>
      </c>
      <c r="C325" s="18" t="s">
        <v>482</v>
      </c>
      <c r="D325" s="19">
        <v>3206092</v>
      </c>
      <c r="E325" s="19">
        <v>2</v>
      </c>
      <c r="F325" s="19"/>
      <c r="G325" s="19">
        <v>90</v>
      </c>
      <c r="H325" s="19">
        <v>1.2</v>
      </c>
      <c r="I325" s="19"/>
      <c r="J325" s="19" t="s">
        <v>56</v>
      </c>
      <c r="K325" s="19" t="b">
        <v>1</v>
      </c>
      <c r="L325" s="15">
        <v>2019</v>
      </c>
      <c r="M325" s="16">
        <v>300000</v>
      </c>
      <c r="N325" s="20">
        <v>41529</v>
      </c>
      <c r="O325" s="20">
        <v>41529</v>
      </c>
    </row>
    <row r="326" spans="1:15">
      <c r="A326" s="17">
        <v>2013</v>
      </c>
      <c r="B326" s="18" t="s">
        <v>481</v>
      </c>
      <c r="C326" s="18" t="s">
        <v>482</v>
      </c>
      <c r="D326" s="19">
        <v>3206092</v>
      </c>
      <c r="E326" s="19">
        <v>2</v>
      </c>
      <c r="F326" s="19"/>
      <c r="G326" s="19">
        <v>110</v>
      </c>
      <c r="H326" s="19" t="s">
        <v>59</v>
      </c>
      <c r="I326" s="19"/>
      <c r="J326" s="19" t="s">
        <v>60</v>
      </c>
      <c r="K326" s="19" t="b">
        <v>1</v>
      </c>
      <c r="L326" s="15">
        <v>2014</v>
      </c>
      <c r="M326" s="16">
        <v>3150344</v>
      </c>
      <c r="N326" s="20">
        <v>41529</v>
      </c>
      <c r="O326" s="20">
        <v>41529</v>
      </c>
    </row>
    <row r="327" spans="1:15">
      <c r="A327" s="17">
        <v>2013</v>
      </c>
      <c r="B327" s="18" t="s">
        <v>481</v>
      </c>
      <c r="C327" s="18" t="s">
        <v>482</v>
      </c>
      <c r="D327" s="19">
        <v>3206092</v>
      </c>
      <c r="E327" s="19">
        <v>2</v>
      </c>
      <c r="F327" s="19"/>
      <c r="G327" s="19">
        <v>120</v>
      </c>
      <c r="H327" s="19">
        <v>2</v>
      </c>
      <c r="I327" s="19" t="s">
        <v>496</v>
      </c>
      <c r="J327" s="19" t="s">
        <v>21</v>
      </c>
      <c r="K327" s="19" t="b">
        <v>0</v>
      </c>
      <c r="L327" s="15">
        <v>2019</v>
      </c>
      <c r="M327" s="16">
        <v>17568748</v>
      </c>
      <c r="N327" s="20">
        <v>41529</v>
      </c>
      <c r="O327" s="20">
        <v>41529</v>
      </c>
    </row>
    <row r="328" spans="1:15">
      <c r="A328" s="17">
        <v>2013</v>
      </c>
      <c r="B328" s="18" t="s">
        <v>481</v>
      </c>
      <c r="C328" s="18" t="s">
        <v>482</v>
      </c>
      <c r="D328" s="19">
        <v>3206092</v>
      </c>
      <c r="E328" s="19">
        <v>2</v>
      </c>
      <c r="F328" s="19"/>
      <c r="G328" s="19">
        <v>390</v>
      </c>
      <c r="H328" s="19">
        <v>6.3</v>
      </c>
      <c r="I328" s="19" t="s">
        <v>498</v>
      </c>
      <c r="J328" s="19" t="s">
        <v>94</v>
      </c>
      <c r="K328" s="19" t="b">
        <v>0</v>
      </c>
      <c r="L328" s="15">
        <v>2019</v>
      </c>
      <c r="M328" s="16">
        <v>0.40660000000000002</v>
      </c>
      <c r="N328" s="20">
        <v>41529</v>
      </c>
      <c r="O328" s="20">
        <v>41529</v>
      </c>
    </row>
    <row r="329" spans="1:15">
      <c r="A329" s="17">
        <v>2013</v>
      </c>
      <c r="B329" s="18" t="s">
        <v>481</v>
      </c>
      <c r="C329" s="18" t="s">
        <v>482</v>
      </c>
      <c r="D329" s="19">
        <v>3206092</v>
      </c>
      <c r="E329" s="19">
        <v>2</v>
      </c>
      <c r="F329" s="19"/>
      <c r="G329" s="19">
        <v>60</v>
      </c>
      <c r="H329" s="19" t="s">
        <v>50</v>
      </c>
      <c r="I329" s="19"/>
      <c r="J329" s="19" t="s">
        <v>51</v>
      </c>
      <c r="K329" s="19" t="b">
        <v>1</v>
      </c>
      <c r="L329" s="15">
        <v>2016</v>
      </c>
      <c r="M329" s="16">
        <v>3100000</v>
      </c>
      <c r="N329" s="20">
        <v>41529</v>
      </c>
      <c r="O329" s="20">
        <v>41529</v>
      </c>
    </row>
    <row r="330" spans="1:15">
      <c r="A330" s="17">
        <v>2013</v>
      </c>
      <c r="B330" s="18" t="s">
        <v>481</v>
      </c>
      <c r="C330" s="18" t="s">
        <v>482</v>
      </c>
      <c r="D330" s="19">
        <v>3206092</v>
      </c>
      <c r="E330" s="19">
        <v>2</v>
      </c>
      <c r="F330" s="19"/>
      <c r="G330" s="19">
        <v>20</v>
      </c>
      <c r="H330" s="19">
        <v>1.1000000000000001</v>
      </c>
      <c r="I330" s="19"/>
      <c r="J330" s="19" t="s">
        <v>43</v>
      </c>
      <c r="K330" s="19" t="b">
        <v>1</v>
      </c>
      <c r="L330" s="15">
        <v>2021</v>
      </c>
      <c r="M330" s="16">
        <v>19063045</v>
      </c>
      <c r="N330" s="20">
        <v>41529</v>
      </c>
      <c r="O330" s="20">
        <v>41529</v>
      </c>
    </row>
    <row r="331" spans="1:15">
      <c r="A331" s="17">
        <v>2013</v>
      </c>
      <c r="B331" s="18" t="s">
        <v>481</v>
      </c>
      <c r="C331" s="18" t="s">
        <v>482</v>
      </c>
      <c r="D331" s="19">
        <v>3206092</v>
      </c>
      <c r="E331" s="19">
        <v>2</v>
      </c>
      <c r="F331" s="19"/>
      <c r="G331" s="19">
        <v>430</v>
      </c>
      <c r="H331" s="19">
        <v>8.1999999999999993</v>
      </c>
      <c r="I331" s="19" t="s">
        <v>483</v>
      </c>
      <c r="J331" s="19" t="s">
        <v>97</v>
      </c>
      <c r="K331" s="19" t="b">
        <v>0</v>
      </c>
      <c r="L331" s="15">
        <v>2016</v>
      </c>
      <c r="M331" s="16">
        <v>1297417</v>
      </c>
      <c r="N331" s="20">
        <v>41529</v>
      </c>
      <c r="O331" s="20">
        <v>41529</v>
      </c>
    </row>
    <row r="332" spans="1:15">
      <c r="A332" s="17">
        <v>2013</v>
      </c>
      <c r="B332" s="18" t="s">
        <v>481</v>
      </c>
      <c r="C332" s="18" t="s">
        <v>482</v>
      </c>
      <c r="D332" s="19">
        <v>3206092</v>
      </c>
      <c r="E332" s="19">
        <v>2</v>
      </c>
      <c r="F332" s="19"/>
      <c r="G332" s="19">
        <v>380</v>
      </c>
      <c r="H332" s="19">
        <v>6.2</v>
      </c>
      <c r="I332" s="19" t="s">
        <v>495</v>
      </c>
      <c r="J332" s="19" t="s">
        <v>93</v>
      </c>
      <c r="K332" s="19" t="b">
        <v>0</v>
      </c>
      <c r="L332" s="15">
        <v>2023</v>
      </c>
      <c r="M332" s="16">
        <v>0.1116</v>
      </c>
      <c r="N332" s="20">
        <v>41529</v>
      </c>
      <c r="O332" s="20">
        <v>41529</v>
      </c>
    </row>
    <row r="333" spans="1:15">
      <c r="A333" s="17">
        <v>2013</v>
      </c>
      <c r="B333" s="18" t="s">
        <v>481</v>
      </c>
      <c r="C333" s="18" t="s">
        <v>482</v>
      </c>
      <c r="D333" s="19">
        <v>3206092</v>
      </c>
      <c r="E333" s="19">
        <v>2</v>
      </c>
      <c r="F333" s="19"/>
      <c r="G333" s="19">
        <v>130</v>
      </c>
      <c r="H333" s="19">
        <v>2.1</v>
      </c>
      <c r="I333" s="19"/>
      <c r="J333" s="19" t="s">
        <v>61</v>
      </c>
      <c r="K333" s="19" t="b">
        <v>1</v>
      </c>
      <c r="L333" s="15">
        <v>2016</v>
      </c>
      <c r="M333" s="16">
        <v>16346533</v>
      </c>
      <c r="N333" s="20">
        <v>41529</v>
      </c>
      <c r="O333" s="20">
        <v>41529</v>
      </c>
    </row>
    <row r="334" spans="1:15">
      <c r="A334" s="17">
        <v>2013</v>
      </c>
      <c r="B334" s="18" t="s">
        <v>481</v>
      </c>
      <c r="C334" s="18" t="s">
        <v>482</v>
      </c>
      <c r="D334" s="19">
        <v>3206092</v>
      </c>
      <c r="E334" s="19">
        <v>2</v>
      </c>
      <c r="F334" s="19"/>
      <c r="G334" s="19">
        <v>130</v>
      </c>
      <c r="H334" s="19">
        <v>2.1</v>
      </c>
      <c r="I334" s="19"/>
      <c r="J334" s="19" t="s">
        <v>61</v>
      </c>
      <c r="K334" s="19" t="b">
        <v>1</v>
      </c>
      <c r="L334" s="15">
        <v>2025</v>
      </c>
      <c r="M334" s="16">
        <v>18718971</v>
      </c>
      <c r="N334" s="20">
        <v>41529</v>
      </c>
      <c r="O334" s="20">
        <v>41529</v>
      </c>
    </row>
    <row r="335" spans="1:15">
      <c r="A335" s="17">
        <v>2013</v>
      </c>
      <c r="B335" s="18" t="s">
        <v>481</v>
      </c>
      <c r="C335" s="18" t="s">
        <v>482</v>
      </c>
      <c r="D335" s="19">
        <v>3206092</v>
      </c>
      <c r="E335" s="19">
        <v>2</v>
      </c>
      <c r="F335" s="19"/>
      <c r="G335" s="19">
        <v>430</v>
      </c>
      <c r="H335" s="19">
        <v>8.1999999999999993</v>
      </c>
      <c r="I335" s="19" t="s">
        <v>483</v>
      </c>
      <c r="J335" s="19" t="s">
        <v>97</v>
      </c>
      <c r="K335" s="19" t="b">
        <v>0</v>
      </c>
      <c r="L335" s="15">
        <v>2023</v>
      </c>
      <c r="M335" s="16">
        <v>2396559</v>
      </c>
      <c r="N335" s="20">
        <v>41529</v>
      </c>
      <c r="O335" s="20">
        <v>41529</v>
      </c>
    </row>
    <row r="336" spans="1:15">
      <c r="A336" s="17">
        <v>2013</v>
      </c>
      <c r="B336" s="18" t="s">
        <v>481</v>
      </c>
      <c r="C336" s="18" t="s">
        <v>482</v>
      </c>
      <c r="D336" s="19">
        <v>3206092</v>
      </c>
      <c r="E336" s="19">
        <v>2</v>
      </c>
      <c r="F336" s="19"/>
      <c r="G336" s="19">
        <v>10</v>
      </c>
      <c r="H336" s="19">
        <v>1</v>
      </c>
      <c r="I336" s="19" t="s">
        <v>491</v>
      </c>
      <c r="J336" s="19" t="s">
        <v>26</v>
      </c>
      <c r="K336" s="19" t="b">
        <v>1</v>
      </c>
      <c r="L336" s="15">
        <v>2013</v>
      </c>
      <c r="M336" s="16">
        <v>19073889.75</v>
      </c>
      <c r="N336" s="20">
        <v>41529</v>
      </c>
      <c r="O336" s="20">
        <v>41529</v>
      </c>
    </row>
    <row r="337" spans="1:15">
      <c r="A337" s="17">
        <v>2013</v>
      </c>
      <c r="B337" s="18" t="s">
        <v>481</v>
      </c>
      <c r="C337" s="18" t="s">
        <v>482</v>
      </c>
      <c r="D337" s="19">
        <v>3206092</v>
      </c>
      <c r="E337" s="19">
        <v>2</v>
      </c>
      <c r="F337" s="19"/>
      <c r="G337" s="19">
        <v>510</v>
      </c>
      <c r="H337" s="19">
        <v>9.6999999999999993</v>
      </c>
      <c r="I337" s="19"/>
      <c r="J337" s="19" t="s">
        <v>484</v>
      </c>
      <c r="K337" s="19" t="b">
        <v>1</v>
      </c>
      <c r="L337" s="15">
        <v>2021</v>
      </c>
      <c r="M337" s="16">
        <v>9.0200000000000002E-2</v>
      </c>
      <c r="N337" s="20">
        <v>41529</v>
      </c>
      <c r="O337" s="20">
        <v>41529</v>
      </c>
    </row>
    <row r="338" spans="1:15">
      <c r="A338" s="17">
        <v>2013</v>
      </c>
      <c r="B338" s="18" t="s">
        <v>481</v>
      </c>
      <c r="C338" s="18" t="s">
        <v>482</v>
      </c>
      <c r="D338" s="19">
        <v>3206092</v>
      </c>
      <c r="E338" s="19">
        <v>2</v>
      </c>
      <c r="F338" s="19"/>
      <c r="G338" s="19">
        <v>540</v>
      </c>
      <c r="H338" s="19" t="s">
        <v>109</v>
      </c>
      <c r="I338" s="19" t="s">
        <v>499</v>
      </c>
      <c r="J338" s="19" t="s">
        <v>110</v>
      </c>
      <c r="K338" s="19" t="b">
        <v>0</v>
      </c>
      <c r="L338" s="15">
        <v>2019</v>
      </c>
      <c r="M338" s="16">
        <v>34</v>
      </c>
      <c r="N338" s="20">
        <v>41529</v>
      </c>
      <c r="O338" s="20">
        <v>41529</v>
      </c>
    </row>
    <row r="339" spans="1:15">
      <c r="A339" s="17">
        <v>2013</v>
      </c>
      <c r="B339" s="18" t="s">
        <v>481</v>
      </c>
      <c r="C339" s="18" t="s">
        <v>482</v>
      </c>
      <c r="D339" s="19">
        <v>3206092</v>
      </c>
      <c r="E339" s="19">
        <v>2</v>
      </c>
      <c r="F339" s="19"/>
      <c r="G339" s="19">
        <v>530</v>
      </c>
      <c r="H339" s="19">
        <v>9.8000000000000007</v>
      </c>
      <c r="I339" s="19" t="s">
        <v>486</v>
      </c>
      <c r="J339" s="19" t="s">
        <v>108</v>
      </c>
      <c r="K339" s="19" t="b">
        <v>0</v>
      </c>
      <c r="L339" s="15">
        <v>2016</v>
      </c>
      <c r="M339" s="16">
        <v>41</v>
      </c>
      <c r="N339" s="20">
        <v>41529</v>
      </c>
      <c r="O339" s="20">
        <v>41529</v>
      </c>
    </row>
    <row r="340" spans="1:15">
      <c r="A340" s="17">
        <v>2013</v>
      </c>
      <c r="B340" s="18" t="s">
        <v>481</v>
      </c>
      <c r="C340" s="18" t="s">
        <v>482</v>
      </c>
      <c r="D340" s="19">
        <v>3206092</v>
      </c>
      <c r="E340" s="19">
        <v>2</v>
      </c>
      <c r="F340" s="19"/>
      <c r="G340" s="19">
        <v>880</v>
      </c>
      <c r="H340" s="19">
        <v>14.1</v>
      </c>
      <c r="I340" s="19"/>
      <c r="J340" s="19" t="s">
        <v>154</v>
      </c>
      <c r="K340" s="19" t="b">
        <v>1</v>
      </c>
      <c r="L340" s="15">
        <v>2023</v>
      </c>
      <c r="M340" s="16">
        <v>1510000</v>
      </c>
      <c r="N340" s="20">
        <v>41529</v>
      </c>
      <c r="O340" s="20">
        <v>41529</v>
      </c>
    </row>
    <row r="341" spans="1:15">
      <c r="A341" s="17">
        <v>2013</v>
      </c>
      <c r="B341" s="18" t="s">
        <v>481</v>
      </c>
      <c r="C341" s="18" t="s">
        <v>482</v>
      </c>
      <c r="D341" s="19">
        <v>3206092</v>
      </c>
      <c r="E341" s="19">
        <v>2</v>
      </c>
      <c r="F341" s="19"/>
      <c r="G341" s="19">
        <v>350</v>
      </c>
      <c r="H341" s="19">
        <v>6</v>
      </c>
      <c r="I341" s="19"/>
      <c r="J341" s="19" t="s">
        <v>27</v>
      </c>
      <c r="K341" s="19" t="b">
        <v>1</v>
      </c>
      <c r="L341" s="15">
        <v>2019</v>
      </c>
      <c r="M341" s="16">
        <v>7631000</v>
      </c>
      <c r="N341" s="20">
        <v>41529</v>
      </c>
      <c r="O341" s="20">
        <v>41529</v>
      </c>
    </row>
    <row r="342" spans="1:15">
      <c r="A342" s="17">
        <v>2013</v>
      </c>
      <c r="B342" s="18" t="s">
        <v>481</v>
      </c>
      <c r="C342" s="18" t="s">
        <v>482</v>
      </c>
      <c r="D342" s="19">
        <v>3206092</v>
      </c>
      <c r="E342" s="19">
        <v>2</v>
      </c>
      <c r="F342" s="19"/>
      <c r="G342" s="19">
        <v>560</v>
      </c>
      <c r="H342" s="19">
        <v>10.1</v>
      </c>
      <c r="I342" s="19"/>
      <c r="J342" s="19" t="s">
        <v>112</v>
      </c>
      <c r="K342" s="19" t="b">
        <v>0</v>
      </c>
      <c r="L342" s="15">
        <v>2014</v>
      </c>
      <c r="M342" s="16">
        <v>1057000</v>
      </c>
      <c r="N342" s="20">
        <v>41529</v>
      </c>
      <c r="O342" s="20">
        <v>41529</v>
      </c>
    </row>
    <row r="343" spans="1:15">
      <c r="A343" s="17">
        <v>2013</v>
      </c>
      <c r="B343" s="18" t="s">
        <v>481</v>
      </c>
      <c r="C343" s="18" t="s">
        <v>482</v>
      </c>
      <c r="D343" s="19">
        <v>3206092</v>
      </c>
      <c r="E343" s="19">
        <v>2</v>
      </c>
      <c r="F343" s="19"/>
      <c r="G343" s="19">
        <v>580</v>
      </c>
      <c r="H343" s="19">
        <v>11.1</v>
      </c>
      <c r="I343" s="19"/>
      <c r="J343" s="19" t="s">
        <v>114</v>
      </c>
      <c r="K343" s="19" t="b">
        <v>0</v>
      </c>
      <c r="L343" s="15">
        <v>2020</v>
      </c>
      <c r="M343" s="16">
        <v>8070371</v>
      </c>
      <c r="N343" s="20">
        <v>41529</v>
      </c>
      <c r="O343" s="20">
        <v>41529</v>
      </c>
    </row>
    <row r="344" spans="1:15">
      <c r="A344" s="17">
        <v>2013</v>
      </c>
      <c r="B344" s="18" t="s">
        <v>481</v>
      </c>
      <c r="C344" s="18" t="s">
        <v>482</v>
      </c>
      <c r="D344" s="19">
        <v>3206092</v>
      </c>
      <c r="E344" s="19">
        <v>2</v>
      </c>
      <c r="F344" s="19"/>
      <c r="G344" s="19">
        <v>300</v>
      </c>
      <c r="H344" s="19">
        <v>5</v>
      </c>
      <c r="I344" s="19" t="s">
        <v>500</v>
      </c>
      <c r="J344" s="19" t="s">
        <v>83</v>
      </c>
      <c r="K344" s="19" t="b">
        <v>0</v>
      </c>
      <c r="L344" s="15">
        <v>2023</v>
      </c>
      <c r="M344" s="16">
        <v>1510000</v>
      </c>
      <c r="N344" s="20">
        <v>41529</v>
      </c>
      <c r="O344" s="20">
        <v>41529</v>
      </c>
    </row>
    <row r="345" spans="1:15">
      <c r="A345" s="17">
        <v>2013</v>
      </c>
      <c r="B345" s="18" t="s">
        <v>481</v>
      </c>
      <c r="C345" s="18" t="s">
        <v>482</v>
      </c>
      <c r="D345" s="19">
        <v>3206092</v>
      </c>
      <c r="E345" s="19">
        <v>2</v>
      </c>
      <c r="F345" s="19"/>
      <c r="G345" s="19">
        <v>60</v>
      </c>
      <c r="H345" s="19" t="s">
        <v>50</v>
      </c>
      <c r="I345" s="19"/>
      <c r="J345" s="19" t="s">
        <v>51</v>
      </c>
      <c r="K345" s="19" t="b">
        <v>1</v>
      </c>
      <c r="L345" s="15">
        <v>2014</v>
      </c>
      <c r="M345" s="16">
        <v>2950000</v>
      </c>
      <c r="N345" s="20">
        <v>41529</v>
      </c>
      <c r="O345" s="20">
        <v>41529</v>
      </c>
    </row>
    <row r="346" spans="1:15">
      <c r="A346" s="17">
        <v>2013</v>
      </c>
      <c r="B346" s="18" t="s">
        <v>481</v>
      </c>
      <c r="C346" s="18" t="s">
        <v>482</v>
      </c>
      <c r="D346" s="19">
        <v>3206092</v>
      </c>
      <c r="E346" s="19">
        <v>2</v>
      </c>
      <c r="F346" s="19"/>
      <c r="G346" s="19">
        <v>90</v>
      </c>
      <c r="H346" s="19">
        <v>1.2</v>
      </c>
      <c r="I346" s="19"/>
      <c r="J346" s="19" t="s">
        <v>56</v>
      </c>
      <c r="K346" s="19" t="b">
        <v>1</v>
      </c>
      <c r="L346" s="15">
        <v>2018</v>
      </c>
      <c r="M346" s="16">
        <v>300000</v>
      </c>
      <c r="N346" s="20">
        <v>41529</v>
      </c>
      <c r="O346" s="20">
        <v>41529</v>
      </c>
    </row>
    <row r="347" spans="1:15">
      <c r="A347" s="17">
        <v>2013</v>
      </c>
      <c r="B347" s="18" t="s">
        <v>481</v>
      </c>
      <c r="C347" s="18" t="s">
        <v>482</v>
      </c>
      <c r="D347" s="19">
        <v>3206092</v>
      </c>
      <c r="E347" s="19">
        <v>2</v>
      </c>
      <c r="F347" s="19"/>
      <c r="G347" s="19">
        <v>200</v>
      </c>
      <c r="H347" s="19">
        <v>3</v>
      </c>
      <c r="I347" s="19" t="s">
        <v>492</v>
      </c>
      <c r="J347" s="19" t="s">
        <v>23</v>
      </c>
      <c r="K347" s="19" t="b">
        <v>0</v>
      </c>
      <c r="L347" s="15">
        <v>2023</v>
      </c>
      <c r="M347" s="16">
        <v>1510000</v>
      </c>
      <c r="N347" s="20">
        <v>41529</v>
      </c>
      <c r="O347" s="20">
        <v>41529</v>
      </c>
    </row>
    <row r="348" spans="1:15">
      <c r="A348" s="17">
        <v>2013</v>
      </c>
      <c r="B348" s="18" t="s">
        <v>481</v>
      </c>
      <c r="C348" s="18" t="s">
        <v>482</v>
      </c>
      <c r="D348" s="19">
        <v>3206092</v>
      </c>
      <c r="E348" s="19">
        <v>2</v>
      </c>
      <c r="F348" s="19"/>
      <c r="G348" s="19">
        <v>130</v>
      </c>
      <c r="H348" s="19">
        <v>2.1</v>
      </c>
      <c r="I348" s="19"/>
      <c r="J348" s="19" t="s">
        <v>61</v>
      </c>
      <c r="K348" s="19" t="b">
        <v>1</v>
      </c>
      <c r="L348" s="15">
        <v>2023</v>
      </c>
      <c r="M348" s="16">
        <v>17827425</v>
      </c>
      <c r="N348" s="20">
        <v>41529</v>
      </c>
      <c r="O348" s="20">
        <v>41529</v>
      </c>
    </row>
    <row r="349" spans="1:15">
      <c r="A349" s="17">
        <v>2013</v>
      </c>
      <c r="B349" s="18" t="s">
        <v>481</v>
      </c>
      <c r="C349" s="18" t="s">
        <v>482</v>
      </c>
      <c r="D349" s="19">
        <v>3206092</v>
      </c>
      <c r="E349" s="19">
        <v>2</v>
      </c>
      <c r="F349" s="19"/>
      <c r="G349" s="19">
        <v>880</v>
      </c>
      <c r="H349" s="19">
        <v>14.1</v>
      </c>
      <c r="I349" s="19"/>
      <c r="J349" s="19" t="s">
        <v>154</v>
      </c>
      <c r="K349" s="19" t="b">
        <v>1</v>
      </c>
      <c r="L349" s="15">
        <v>2021</v>
      </c>
      <c r="M349" s="16">
        <v>1200000</v>
      </c>
      <c r="N349" s="20">
        <v>41529</v>
      </c>
      <c r="O349" s="20">
        <v>41529</v>
      </c>
    </row>
    <row r="350" spans="1:15">
      <c r="A350" s="17">
        <v>2013</v>
      </c>
      <c r="B350" s="18" t="s">
        <v>481</v>
      </c>
      <c r="C350" s="18" t="s">
        <v>482</v>
      </c>
      <c r="D350" s="19">
        <v>3206092</v>
      </c>
      <c r="E350" s="19">
        <v>2</v>
      </c>
      <c r="F350" s="19"/>
      <c r="G350" s="19">
        <v>180</v>
      </c>
      <c r="H350" s="19" t="s">
        <v>70</v>
      </c>
      <c r="I350" s="19"/>
      <c r="J350" s="19" t="s">
        <v>71</v>
      </c>
      <c r="K350" s="19" t="b">
        <v>0</v>
      </c>
      <c r="L350" s="15">
        <v>2015</v>
      </c>
      <c r="M350" s="16">
        <v>645000</v>
      </c>
      <c r="N350" s="20">
        <v>41529</v>
      </c>
      <c r="O350" s="20">
        <v>41529</v>
      </c>
    </row>
    <row r="351" spans="1:15">
      <c r="A351" s="17">
        <v>2013</v>
      </c>
      <c r="B351" s="18" t="s">
        <v>481</v>
      </c>
      <c r="C351" s="18" t="s">
        <v>482</v>
      </c>
      <c r="D351" s="19">
        <v>3206092</v>
      </c>
      <c r="E351" s="19">
        <v>2</v>
      </c>
      <c r="F351" s="19"/>
      <c r="G351" s="19">
        <v>505</v>
      </c>
      <c r="H351" s="19" t="s">
        <v>103</v>
      </c>
      <c r="I351" s="19" t="s">
        <v>485</v>
      </c>
      <c r="J351" s="19" t="s">
        <v>104</v>
      </c>
      <c r="K351" s="19" t="b">
        <v>0</v>
      </c>
      <c r="L351" s="15">
        <v>2023</v>
      </c>
      <c r="M351" s="16">
        <v>0.13139999999999999</v>
      </c>
      <c r="N351" s="20">
        <v>41529</v>
      </c>
      <c r="O351" s="20">
        <v>41529</v>
      </c>
    </row>
    <row r="352" spans="1:15">
      <c r="A352" s="17">
        <v>2013</v>
      </c>
      <c r="B352" s="18" t="s">
        <v>481</v>
      </c>
      <c r="C352" s="18" t="s">
        <v>482</v>
      </c>
      <c r="D352" s="19">
        <v>3206092</v>
      </c>
      <c r="E352" s="19">
        <v>2</v>
      </c>
      <c r="F352" s="19"/>
      <c r="G352" s="19">
        <v>540</v>
      </c>
      <c r="H352" s="19" t="s">
        <v>109</v>
      </c>
      <c r="I352" s="19" t="s">
        <v>499</v>
      </c>
      <c r="J352" s="19" t="s">
        <v>110</v>
      </c>
      <c r="K352" s="19" t="b">
        <v>0</v>
      </c>
      <c r="L352" s="15">
        <v>2013</v>
      </c>
      <c r="M352" s="16">
        <v>-1259</v>
      </c>
      <c r="N352" s="20">
        <v>41529</v>
      </c>
      <c r="O352" s="20">
        <v>41529</v>
      </c>
    </row>
    <row r="353" spans="1:15">
      <c r="A353" s="17">
        <v>2013</v>
      </c>
      <c r="B353" s="18" t="s">
        <v>481</v>
      </c>
      <c r="C353" s="18" t="s">
        <v>482</v>
      </c>
      <c r="D353" s="19">
        <v>3206092</v>
      </c>
      <c r="E353" s="19">
        <v>2</v>
      </c>
      <c r="F353" s="19"/>
      <c r="G353" s="19">
        <v>330</v>
      </c>
      <c r="H353" s="19" t="s">
        <v>87</v>
      </c>
      <c r="I353" s="19"/>
      <c r="J353" s="19" t="s">
        <v>88</v>
      </c>
      <c r="K353" s="19" t="b">
        <v>1</v>
      </c>
      <c r="L353" s="15">
        <v>2013</v>
      </c>
      <c r="M353" s="16">
        <v>460716</v>
      </c>
      <c r="N353" s="20">
        <v>41529</v>
      </c>
      <c r="O353" s="20">
        <v>41529</v>
      </c>
    </row>
    <row r="354" spans="1:15">
      <c r="A354" s="17">
        <v>2013</v>
      </c>
      <c r="B354" s="18" t="s">
        <v>481</v>
      </c>
      <c r="C354" s="18" t="s">
        <v>482</v>
      </c>
      <c r="D354" s="19">
        <v>3206092</v>
      </c>
      <c r="E354" s="19">
        <v>2</v>
      </c>
      <c r="F354" s="19"/>
      <c r="G354" s="19">
        <v>10</v>
      </c>
      <c r="H354" s="19">
        <v>1</v>
      </c>
      <c r="I354" s="19" t="s">
        <v>491</v>
      </c>
      <c r="J354" s="19" t="s">
        <v>26</v>
      </c>
      <c r="K354" s="19" t="b">
        <v>1</v>
      </c>
      <c r="L354" s="15">
        <v>2017</v>
      </c>
      <c r="M354" s="16">
        <v>18237269</v>
      </c>
      <c r="N354" s="20">
        <v>41529</v>
      </c>
      <c r="O354" s="20">
        <v>41529</v>
      </c>
    </row>
    <row r="355" spans="1:15">
      <c r="A355" s="17">
        <v>2013</v>
      </c>
      <c r="B355" s="18" t="s">
        <v>481</v>
      </c>
      <c r="C355" s="18" t="s">
        <v>482</v>
      </c>
      <c r="D355" s="19">
        <v>3206092</v>
      </c>
      <c r="E355" s="19">
        <v>2</v>
      </c>
      <c r="F355" s="19"/>
      <c r="G355" s="19">
        <v>190</v>
      </c>
      <c r="H355" s="19">
        <v>2.2000000000000002</v>
      </c>
      <c r="I355" s="19"/>
      <c r="J355" s="19" t="s">
        <v>72</v>
      </c>
      <c r="K355" s="19" t="b">
        <v>0</v>
      </c>
      <c r="L355" s="15">
        <v>2015</v>
      </c>
      <c r="M355" s="16">
        <v>1226327</v>
      </c>
      <c r="N355" s="20">
        <v>41529</v>
      </c>
      <c r="O355" s="20">
        <v>41529</v>
      </c>
    </row>
    <row r="356" spans="1:15">
      <c r="A356" s="17">
        <v>2013</v>
      </c>
      <c r="B356" s="18" t="s">
        <v>481</v>
      </c>
      <c r="C356" s="18" t="s">
        <v>482</v>
      </c>
      <c r="D356" s="19">
        <v>3206092</v>
      </c>
      <c r="E356" s="19">
        <v>2</v>
      </c>
      <c r="F356" s="19"/>
      <c r="G356" s="19">
        <v>510</v>
      </c>
      <c r="H356" s="19">
        <v>9.6999999999999993</v>
      </c>
      <c r="I356" s="19"/>
      <c r="J356" s="19" t="s">
        <v>484</v>
      </c>
      <c r="K356" s="19" t="b">
        <v>1</v>
      </c>
      <c r="L356" s="15">
        <v>2022</v>
      </c>
      <c r="M356" s="16">
        <v>9.9000000000000005E-2</v>
      </c>
      <c r="N356" s="20">
        <v>41529</v>
      </c>
      <c r="O356" s="20">
        <v>41529</v>
      </c>
    </row>
    <row r="357" spans="1:15">
      <c r="A357" s="17">
        <v>2013</v>
      </c>
      <c r="B357" s="18" t="s">
        <v>481</v>
      </c>
      <c r="C357" s="18" t="s">
        <v>482</v>
      </c>
      <c r="D357" s="19">
        <v>3206092</v>
      </c>
      <c r="E357" s="19">
        <v>2</v>
      </c>
      <c r="F357" s="19"/>
      <c r="G357" s="19">
        <v>940</v>
      </c>
      <c r="H357" s="19">
        <v>14.4</v>
      </c>
      <c r="I357" s="19"/>
      <c r="J357" s="19" t="s">
        <v>163</v>
      </c>
      <c r="K357" s="19" t="b">
        <v>1</v>
      </c>
      <c r="L357" s="15">
        <v>2013</v>
      </c>
      <c r="M357" s="16">
        <v>6750.55</v>
      </c>
      <c r="N357" s="20">
        <v>41529</v>
      </c>
      <c r="O357" s="20">
        <v>41529</v>
      </c>
    </row>
    <row r="358" spans="1:15">
      <c r="A358" s="17">
        <v>2013</v>
      </c>
      <c r="B358" s="18" t="s">
        <v>481</v>
      </c>
      <c r="C358" s="18" t="s">
        <v>482</v>
      </c>
      <c r="D358" s="19">
        <v>3206092</v>
      </c>
      <c r="E358" s="19">
        <v>2</v>
      </c>
      <c r="F358" s="19"/>
      <c r="G358" s="19">
        <v>30</v>
      </c>
      <c r="H358" s="19" t="s">
        <v>44</v>
      </c>
      <c r="I358" s="19"/>
      <c r="J358" s="19" t="s">
        <v>45</v>
      </c>
      <c r="K358" s="19" t="b">
        <v>1</v>
      </c>
      <c r="L358" s="15">
        <v>2018</v>
      </c>
      <c r="M358" s="16">
        <v>1622000</v>
      </c>
      <c r="N358" s="20">
        <v>41529</v>
      </c>
      <c r="O358" s="20">
        <v>41529</v>
      </c>
    </row>
    <row r="359" spans="1:15">
      <c r="A359" s="17">
        <v>2013</v>
      </c>
      <c r="B359" s="18" t="s">
        <v>481</v>
      </c>
      <c r="C359" s="18" t="s">
        <v>482</v>
      </c>
      <c r="D359" s="19">
        <v>3206092</v>
      </c>
      <c r="E359" s="19">
        <v>2</v>
      </c>
      <c r="F359" s="19"/>
      <c r="G359" s="19">
        <v>40</v>
      </c>
      <c r="H359" s="19" t="s">
        <v>46</v>
      </c>
      <c r="I359" s="19"/>
      <c r="J359" s="19" t="s">
        <v>47</v>
      </c>
      <c r="K359" s="19" t="b">
        <v>1</v>
      </c>
      <c r="L359" s="15">
        <v>2016</v>
      </c>
      <c r="M359" s="16">
        <v>7000</v>
      </c>
      <c r="N359" s="20">
        <v>41529</v>
      </c>
      <c r="O359" s="20">
        <v>41529</v>
      </c>
    </row>
    <row r="360" spans="1:15">
      <c r="A360" s="17">
        <v>2013</v>
      </c>
      <c r="B360" s="18" t="s">
        <v>481</v>
      </c>
      <c r="C360" s="18" t="s">
        <v>482</v>
      </c>
      <c r="D360" s="19">
        <v>3206092</v>
      </c>
      <c r="E360" s="19">
        <v>2</v>
      </c>
      <c r="F360" s="19"/>
      <c r="G360" s="19">
        <v>100</v>
      </c>
      <c r="H360" s="19" t="s">
        <v>57</v>
      </c>
      <c r="I360" s="19"/>
      <c r="J360" s="19" t="s">
        <v>58</v>
      </c>
      <c r="K360" s="19" t="b">
        <v>1</v>
      </c>
      <c r="L360" s="15">
        <v>2021</v>
      </c>
      <c r="M360" s="16">
        <v>300000</v>
      </c>
      <c r="N360" s="20">
        <v>41529</v>
      </c>
      <c r="O360" s="20">
        <v>41529</v>
      </c>
    </row>
    <row r="361" spans="1:15">
      <c r="A361" s="17">
        <v>2013</v>
      </c>
      <c r="B361" s="18" t="s">
        <v>481</v>
      </c>
      <c r="C361" s="18" t="s">
        <v>482</v>
      </c>
      <c r="D361" s="19">
        <v>3206092</v>
      </c>
      <c r="E361" s="19">
        <v>2</v>
      </c>
      <c r="F361" s="19"/>
      <c r="G361" s="19">
        <v>60</v>
      </c>
      <c r="H361" s="19" t="s">
        <v>50</v>
      </c>
      <c r="I361" s="19"/>
      <c r="J361" s="19" t="s">
        <v>51</v>
      </c>
      <c r="K361" s="19" t="b">
        <v>1</v>
      </c>
      <c r="L361" s="15">
        <v>2022</v>
      </c>
      <c r="M361" s="16">
        <v>3616000</v>
      </c>
      <c r="N361" s="20">
        <v>41529</v>
      </c>
      <c r="O361" s="20">
        <v>41529</v>
      </c>
    </row>
    <row r="362" spans="1:15">
      <c r="A362" s="17">
        <v>2013</v>
      </c>
      <c r="B362" s="18" t="s">
        <v>481</v>
      </c>
      <c r="C362" s="18" t="s">
        <v>482</v>
      </c>
      <c r="D362" s="19">
        <v>3206092</v>
      </c>
      <c r="E362" s="19">
        <v>2</v>
      </c>
      <c r="F362" s="19"/>
      <c r="G362" s="19">
        <v>500</v>
      </c>
      <c r="H362" s="19">
        <v>9.6</v>
      </c>
      <c r="I362" s="19" t="s">
        <v>488</v>
      </c>
      <c r="J362" s="19" t="s">
        <v>102</v>
      </c>
      <c r="K362" s="19" t="b">
        <v>0</v>
      </c>
      <c r="L362" s="15">
        <v>2017</v>
      </c>
      <c r="M362" s="16">
        <v>6.3399999999999998E-2</v>
      </c>
      <c r="N362" s="20">
        <v>41529</v>
      </c>
      <c r="O362" s="20">
        <v>41529</v>
      </c>
    </row>
    <row r="363" spans="1:15">
      <c r="A363" s="17">
        <v>2013</v>
      </c>
      <c r="B363" s="18" t="s">
        <v>481</v>
      </c>
      <c r="C363" s="18" t="s">
        <v>482</v>
      </c>
      <c r="D363" s="19">
        <v>3206092</v>
      </c>
      <c r="E363" s="19">
        <v>2</v>
      </c>
      <c r="F363" s="19"/>
      <c r="G363" s="19">
        <v>430</v>
      </c>
      <c r="H363" s="19">
        <v>8.1999999999999993</v>
      </c>
      <c r="I363" s="19" t="s">
        <v>483</v>
      </c>
      <c r="J363" s="19" t="s">
        <v>97</v>
      </c>
      <c r="K363" s="19" t="b">
        <v>0</v>
      </c>
      <c r="L363" s="15">
        <v>2020</v>
      </c>
      <c r="M363" s="16">
        <v>1247662</v>
      </c>
      <c r="N363" s="20">
        <v>41529</v>
      </c>
      <c r="O363" s="20">
        <v>41529</v>
      </c>
    </row>
    <row r="364" spans="1:15">
      <c r="A364" s="17">
        <v>2013</v>
      </c>
      <c r="B364" s="18" t="s">
        <v>481</v>
      </c>
      <c r="C364" s="18" t="s">
        <v>482</v>
      </c>
      <c r="D364" s="19">
        <v>3206092</v>
      </c>
      <c r="E364" s="19">
        <v>2</v>
      </c>
      <c r="F364" s="19"/>
      <c r="G364" s="19">
        <v>80</v>
      </c>
      <c r="H364" s="19" t="s">
        <v>54</v>
      </c>
      <c r="I364" s="19"/>
      <c r="J364" s="19" t="s">
        <v>55</v>
      </c>
      <c r="K364" s="19" t="b">
        <v>1</v>
      </c>
      <c r="L364" s="15">
        <v>2018</v>
      </c>
      <c r="M364" s="16">
        <v>4550000</v>
      </c>
      <c r="N364" s="20">
        <v>41529</v>
      </c>
      <c r="O364" s="20">
        <v>41529</v>
      </c>
    </row>
    <row r="365" spans="1:15">
      <c r="A365" s="17">
        <v>2013</v>
      </c>
      <c r="B365" s="18" t="s">
        <v>481</v>
      </c>
      <c r="C365" s="18" t="s">
        <v>482</v>
      </c>
      <c r="D365" s="19">
        <v>3206092</v>
      </c>
      <c r="E365" s="19">
        <v>2</v>
      </c>
      <c r="F365" s="19"/>
      <c r="G365" s="19">
        <v>300</v>
      </c>
      <c r="H365" s="19">
        <v>5</v>
      </c>
      <c r="I365" s="19" t="s">
        <v>500</v>
      </c>
      <c r="J365" s="19" t="s">
        <v>83</v>
      </c>
      <c r="K365" s="19" t="b">
        <v>0</v>
      </c>
      <c r="L365" s="15">
        <v>2019</v>
      </c>
      <c r="M365" s="16">
        <v>1200000</v>
      </c>
      <c r="N365" s="20">
        <v>41529</v>
      </c>
      <c r="O365" s="20">
        <v>41529</v>
      </c>
    </row>
    <row r="366" spans="1:15">
      <c r="A366" s="17">
        <v>2013</v>
      </c>
      <c r="B366" s="18" t="s">
        <v>481</v>
      </c>
      <c r="C366" s="18" t="s">
        <v>482</v>
      </c>
      <c r="D366" s="19">
        <v>3206092</v>
      </c>
      <c r="E366" s="19">
        <v>2</v>
      </c>
      <c r="F366" s="19"/>
      <c r="G366" s="19">
        <v>190</v>
      </c>
      <c r="H366" s="19">
        <v>2.2000000000000002</v>
      </c>
      <c r="I366" s="19"/>
      <c r="J366" s="19" t="s">
        <v>72</v>
      </c>
      <c r="K366" s="19" t="b">
        <v>0</v>
      </c>
      <c r="L366" s="15">
        <v>2017</v>
      </c>
      <c r="M366" s="16">
        <v>1103340</v>
      </c>
      <c r="N366" s="20">
        <v>41529</v>
      </c>
      <c r="O366" s="20">
        <v>41529</v>
      </c>
    </row>
    <row r="367" spans="1:15">
      <c r="A367" s="17">
        <v>2013</v>
      </c>
      <c r="B367" s="18" t="s">
        <v>481</v>
      </c>
      <c r="C367" s="18" t="s">
        <v>482</v>
      </c>
      <c r="D367" s="19">
        <v>3206092</v>
      </c>
      <c r="E367" s="19">
        <v>2</v>
      </c>
      <c r="F367" s="19"/>
      <c r="G367" s="19">
        <v>130</v>
      </c>
      <c r="H367" s="19">
        <v>2.1</v>
      </c>
      <c r="I367" s="19"/>
      <c r="J367" s="19" t="s">
        <v>61</v>
      </c>
      <c r="K367" s="19" t="b">
        <v>1</v>
      </c>
      <c r="L367" s="15">
        <v>2015</v>
      </c>
      <c r="M367" s="16">
        <v>16273673</v>
      </c>
      <c r="N367" s="20">
        <v>41529</v>
      </c>
      <c r="O367" s="20">
        <v>41529</v>
      </c>
    </row>
    <row r="368" spans="1:15">
      <c r="A368" s="17">
        <v>2013</v>
      </c>
      <c r="B368" s="18" t="s">
        <v>481</v>
      </c>
      <c r="C368" s="18" t="s">
        <v>482</v>
      </c>
      <c r="D368" s="19">
        <v>3206092</v>
      </c>
      <c r="E368" s="19">
        <v>2</v>
      </c>
      <c r="F368" s="19"/>
      <c r="G368" s="19">
        <v>120</v>
      </c>
      <c r="H368" s="19">
        <v>2</v>
      </c>
      <c r="I368" s="19" t="s">
        <v>496</v>
      </c>
      <c r="J368" s="19" t="s">
        <v>21</v>
      </c>
      <c r="K368" s="19" t="b">
        <v>0</v>
      </c>
      <c r="L368" s="15">
        <v>2020</v>
      </c>
      <c r="M368" s="16">
        <v>17507811</v>
      </c>
      <c r="N368" s="20">
        <v>41529</v>
      </c>
      <c r="O368" s="20">
        <v>41529</v>
      </c>
    </row>
    <row r="369" spans="1:15">
      <c r="A369" s="17">
        <v>2013</v>
      </c>
      <c r="B369" s="18" t="s">
        <v>481</v>
      </c>
      <c r="C369" s="18" t="s">
        <v>482</v>
      </c>
      <c r="D369" s="19">
        <v>3206092</v>
      </c>
      <c r="E369" s="19">
        <v>2</v>
      </c>
      <c r="F369" s="19"/>
      <c r="G369" s="19">
        <v>460</v>
      </c>
      <c r="H369" s="19">
        <v>9.1999999999999993</v>
      </c>
      <c r="I369" s="19" t="s">
        <v>487</v>
      </c>
      <c r="J369" s="19" t="s">
        <v>99</v>
      </c>
      <c r="K369" s="19" t="b">
        <v>0</v>
      </c>
      <c r="L369" s="15">
        <v>2018</v>
      </c>
      <c r="M369" s="16">
        <v>6.0400000000000002E-2</v>
      </c>
      <c r="N369" s="20">
        <v>41529</v>
      </c>
      <c r="O369" s="20">
        <v>41529</v>
      </c>
    </row>
    <row r="370" spans="1:15">
      <c r="A370" s="17">
        <v>2013</v>
      </c>
      <c r="B370" s="18" t="s">
        <v>481</v>
      </c>
      <c r="C370" s="18" t="s">
        <v>482</v>
      </c>
      <c r="D370" s="19">
        <v>3206092</v>
      </c>
      <c r="E370" s="19">
        <v>2</v>
      </c>
      <c r="F370" s="19"/>
      <c r="G370" s="19">
        <v>480</v>
      </c>
      <c r="H370" s="19">
        <v>9.4</v>
      </c>
      <c r="I370" s="19" t="s">
        <v>487</v>
      </c>
      <c r="J370" s="19" t="s">
        <v>100</v>
      </c>
      <c r="K370" s="19" t="b">
        <v>0</v>
      </c>
      <c r="L370" s="15">
        <v>2017</v>
      </c>
      <c r="M370" s="16">
        <v>6.3399999999999998E-2</v>
      </c>
      <c r="N370" s="20">
        <v>41529</v>
      </c>
      <c r="O370" s="20">
        <v>41529</v>
      </c>
    </row>
    <row r="371" spans="1:15">
      <c r="A371" s="17">
        <v>2013</v>
      </c>
      <c r="B371" s="18" t="s">
        <v>481</v>
      </c>
      <c r="C371" s="18" t="s">
        <v>482</v>
      </c>
      <c r="D371" s="19">
        <v>3206092</v>
      </c>
      <c r="E371" s="19">
        <v>2</v>
      </c>
      <c r="F371" s="19"/>
      <c r="G371" s="19">
        <v>580</v>
      </c>
      <c r="H371" s="19">
        <v>11.1</v>
      </c>
      <c r="I371" s="19"/>
      <c r="J371" s="19" t="s">
        <v>114</v>
      </c>
      <c r="K371" s="19" t="b">
        <v>0</v>
      </c>
      <c r="L371" s="15">
        <v>2018</v>
      </c>
      <c r="M371" s="16">
        <v>7607098</v>
      </c>
      <c r="N371" s="20">
        <v>41529</v>
      </c>
      <c r="O371" s="20">
        <v>41529</v>
      </c>
    </row>
    <row r="372" spans="1:15">
      <c r="A372" s="17">
        <v>2013</v>
      </c>
      <c r="B372" s="18" t="s">
        <v>481</v>
      </c>
      <c r="C372" s="18" t="s">
        <v>482</v>
      </c>
      <c r="D372" s="19">
        <v>3206092</v>
      </c>
      <c r="E372" s="19">
        <v>2</v>
      </c>
      <c r="F372" s="19"/>
      <c r="G372" s="19">
        <v>420</v>
      </c>
      <c r="H372" s="19">
        <v>8.1</v>
      </c>
      <c r="I372" s="19" t="s">
        <v>494</v>
      </c>
      <c r="J372" s="19" t="s">
        <v>96</v>
      </c>
      <c r="K372" s="19" t="b">
        <v>0</v>
      </c>
      <c r="L372" s="15">
        <v>2018</v>
      </c>
      <c r="M372" s="16">
        <v>1504150</v>
      </c>
      <c r="N372" s="20">
        <v>41529</v>
      </c>
      <c r="O372" s="20">
        <v>41529</v>
      </c>
    </row>
    <row r="373" spans="1:15">
      <c r="A373" s="17">
        <v>2013</v>
      </c>
      <c r="B373" s="18" t="s">
        <v>481</v>
      </c>
      <c r="C373" s="18" t="s">
        <v>482</v>
      </c>
      <c r="D373" s="19">
        <v>3206092</v>
      </c>
      <c r="E373" s="19">
        <v>2</v>
      </c>
      <c r="F373" s="19"/>
      <c r="G373" s="19">
        <v>300</v>
      </c>
      <c r="H373" s="19">
        <v>5</v>
      </c>
      <c r="I373" s="19" t="s">
        <v>500</v>
      </c>
      <c r="J373" s="19" t="s">
        <v>83</v>
      </c>
      <c r="K373" s="19" t="b">
        <v>0</v>
      </c>
      <c r="L373" s="15">
        <v>2024</v>
      </c>
      <c r="M373" s="16">
        <v>1548000</v>
      </c>
      <c r="N373" s="20">
        <v>41529</v>
      </c>
      <c r="O373" s="20">
        <v>41529</v>
      </c>
    </row>
    <row r="374" spans="1:15">
      <c r="A374" s="17">
        <v>2013</v>
      </c>
      <c r="B374" s="18" t="s">
        <v>481</v>
      </c>
      <c r="C374" s="18" t="s">
        <v>482</v>
      </c>
      <c r="D374" s="19">
        <v>3206092</v>
      </c>
      <c r="E374" s="19">
        <v>2</v>
      </c>
      <c r="F374" s="19"/>
      <c r="G374" s="19">
        <v>460</v>
      </c>
      <c r="H374" s="19">
        <v>9.1999999999999993</v>
      </c>
      <c r="I374" s="19" t="s">
        <v>487</v>
      </c>
      <c r="J374" s="19" t="s">
        <v>99</v>
      </c>
      <c r="K374" s="19" t="b">
        <v>0</v>
      </c>
      <c r="L374" s="15">
        <v>2015</v>
      </c>
      <c r="M374" s="16">
        <v>4.2299999999999997E-2</v>
      </c>
      <c r="N374" s="20">
        <v>41529</v>
      </c>
      <c r="O374" s="20">
        <v>41529</v>
      </c>
    </row>
    <row r="375" spans="1:15">
      <c r="A375" s="17">
        <v>2013</v>
      </c>
      <c r="B375" s="18" t="s">
        <v>481</v>
      </c>
      <c r="C375" s="18" t="s">
        <v>482</v>
      </c>
      <c r="D375" s="19">
        <v>3206092</v>
      </c>
      <c r="E375" s="19">
        <v>2</v>
      </c>
      <c r="F375" s="19"/>
      <c r="G375" s="19">
        <v>20</v>
      </c>
      <c r="H375" s="19">
        <v>1.1000000000000001</v>
      </c>
      <c r="I375" s="19"/>
      <c r="J375" s="19" t="s">
        <v>43</v>
      </c>
      <c r="K375" s="19" t="b">
        <v>1</v>
      </c>
      <c r="L375" s="15">
        <v>2024</v>
      </c>
      <c r="M375" s="16">
        <v>20830704</v>
      </c>
      <c r="N375" s="20">
        <v>41529</v>
      </c>
      <c r="O375" s="20">
        <v>41529</v>
      </c>
    </row>
    <row r="376" spans="1:15">
      <c r="A376" s="17">
        <v>2013</v>
      </c>
      <c r="B376" s="18" t="s">
        <v>481</v>
      </c>
      <c r="C376" s="18" t="s">
        <v>482</v>
      </c>
      <c r="D376" s="19">
        <v>3206092</v>
      </c>
      <c r="E376" s="19">
        <v>2</v>
      </c>
      <c r="F376" s="19"/>
      <c r="G376" s="19">
        <v>505</v>
      </c>
      <c r="H376" s="19" t="s">
        <v>103</v>
      </c>
      <c r="I376" s="19" t="s">
        <v>485</v>
      </c>
      <c r="J376" s="19" t="s">
        <v>104</v>
      </c>
      <c r="K376" s="19" t="b">
        <v>0</v>
      </c>
      <c r="L376" s="15">
        <v>2025</v>
      </c>
      <c r="M376" s="16">
        <v>0.1396</v>
      </c>
      <c r="N376" s="20">
        <v>41529</v>
      </c>
      <c r="O376" s="20">
        <v>41529</v>
      </c>
    </row>
    <row r="377" spans="1:15">
      <c r="A377" s="17">
        <v>2013</v>
      </c>
      <c r="B377" s="18" t="s">
        <v>481</v>
      </c>
      <c r="C377" s="18" t="s">
        <v>482</v>
      </c>
      <c r="D377" s="19">
        <v>3206092</v>
      </c>
      <c r="E377" s="19">
        <v>2</v>
      </c>
      <c r="F377" s="19"/>
      <c r="G377" s="19">
        <v>390</v>
      </c>
      <c r="H377" s="19">
        <v>6.3</v>
      </c>
      <c r="I377" s="19" t="s">
        <v>498</v>
      </c>
      <c r="J377" s="19" t="s">
        <v>94</v>
      </c>
      <c r="K377" s="19" t="b">
        <v>0</v>
      </c>
      <c r="L377" s="15">
        <v>2024</v>
      </c>
      <c r="M377" s="16">
        <v>3.5200000000000002E-2</v>
      </c>
      <c r="N377" s="20">
        <v>41529</v>
      </c>
      <c r="O377" s="20">
        <v>41529</v>
      </c>
    </row>
    <row r="378" spans="1:15">
      <c r="A378" s="17">
        <v>2013</v>
      </c>
      <c r="B378" s="18" t="s">
        <v>481</v>
      </c>
      <c r="C378" s="18" t="s">
        <v>482</v>
      </c>
      <c r="D378" s="19">
        <v>3206092</v>
      </c>
      <c r="E378" s="19">
        <v>2</v>
      </c>
      <c r="F378" s="19"/>
      <c r="G378" s="19">
        <v>80</v>
      </c>
      <c r="H378" s="19" t="s">
        <v>54</v>
      </c>
      <c r="I378" s="19"/>
      <c r="J378" s="19" t="s">
        <v>55</v>
      </c>
      <c r="K378" s="19" t="b">
        <v>1</v>
      </c>
      <c r="L378" s="15">
        <v>2024</v>
      </c>
      <c r="M378" s="16">
        <v>4450000</v>
      </c>
      <c r="N378" s="20">
        <v>41529</v>
      </c>
      <c r="O378" s="20">
        <v>41529</v>
      </c>
    </row>
    <row r="379" spans="1:15">
      <c r="A379" s="17">
        <v>2013</v>
      </c>
      <c r="B379" s="18" t="s">
        <v>481</v>
      </c>
      <c r="C379" s="18" t="s">
        <v>482</v>
      </c>
      <c r="D379" s="19">
        <v>3206092</v>
      </c>
      <c r="E379" s="19">
        <v>2</v>
      </c>
      <c r="F379" s="19"/>
      <c r="G379" s="19">
        <v>740</v>
      </c>
      <c r="H379" s="19" t="s">
        <v>136</v>
      </c>
      <c r="I379" s="19"/>
      <c r="J379" s="19" t="s">
        <v>137</v>
      </c>
      <c r="K379" s="19" t="b">
        <v>0</v>
      </c>
      <c r="L379" s="15">
        <v>2014</v>
      </c>
      <c r="M379" s="16">
        <v>23010</v>
      </c>
      <c r="N379" s="20">
        <v>41529</v>
      </c>
      <c r="O379" s="20">
        <v>41529</v>
      </c>
    </row>
    <row r="380" spans="1:15">
      <c r="A380" s="17">
        <v>2013</v>
      </c>
      <c r="B380" s="18" t="s">
        <v>481</v>
      </c>
      <c r="C380" s="18" t="s">
        <v>482</v>
      </c>
      <c r="D380" s="19">
        <v>3206092</v>
      </c>
      <c r="E380" s="19">
        <v>2</v>
      </c>
      <c r="F380" s="19"/>
      <c r="G380" s="19">
        <v>720</v>
      </c>
      <c r="H380" s="19" t="s">
        <v>133</v>
      </c>
      <c r="I380" s="19"/>
      <c r="J380" s="19" t="s">
        <v>134</v>
      </c>
      <c r="K380" s="19" t="b">
        <v>0</v>
      </c>
      <c r="L380" s="15">
        <v>2013</v>
      </c>
      <c r="M380" s="16">
        <v>766427.52</v>
      </c>
      <c r="N380" s="20">
        <v>41529</v>
      </c>
      <c r="O380" s="20">
        <v>41529</v>
      </c>
    </row>
    <row r="381" spans="1:15">
      <c r="A381" s="17">
        <v>2013</v>
      </c>
      <c r="B381" s="18" t="s">
        <v>481</v>
      </c>
      <c r="C381" s="18" t="s">
        <v>482</v>
      </c>
      <c r="D381" s="19">
        <v>3206092</v>
      </c>
      <c r="E381" s="19">
        <v>2</v>
      </c>
      <c r="F381" s="19"/>
      <c r="G381" s="19">
        <v>170</v>
      </c>
      <c r="H381" s="19" t="s">
        <v>68</v>
      </c>
      <c r="I381" s="19"/>
      <c r="J381" s="19" t="s">
        <v>69</v>
      </c>
      <c r="K381" s="19" t="b">
        <v>1</v>
      </c>
      <c r="L381" s="15">
        <v>2020</v>
      </c>
      <c r="M381" s="16">
        <v>413000</v>
      </c>
      <c r="N381" s="20">
        <v>41529</v>
      </c>
      <c r="O381" s="20">
        <v>41529</v>
      </c>
    </row>
    <row r="382" spans="1:15">
      <c r="A382" s="17">
        <v>2013</v>
      </c>
      <c r="B382" s="18" t="s">
        <v>481</v>
      </c>
      <c r="C382" s="18" t="s">
        <v>482</v>
      </c>
      <c r="D382" s="19">
        <v>3206092</v>
      </c>
      <c r="E382" s="19">
        <v>2</v>
      </c>
      <c r="F382" s="19"/>
      <c r="G382" s="19">
        <v>380</v>
      </c>
      <c r="H382" s="19">
        <v>6.2</v>
      </c>
      <c r="I382" s="19" t="s">
        <v>495</v>
      </c>
      <c r="J382" s="19" t="s">
        <v>93</v>
      </c>
      <c r="K382" s="19" t="b">
        <v>0</v>
      </c>
      <c r="L382" s="15">
        <v>2013</v>
      </c>
      <c r="M382" s="16">
        <v>0.60860000000000003</v>
      </c>
      <c r="N382" s="20">
        <v>41529</v>
      </c>
      <c r="O382" s="20">
        <v>41529</v>
      </c>
    </row>
    <row r="383" spans="1:15">
      <c r="A383" s="17">
        <v>2013</v>
      </c>
      <c r="B383" s="18" t="s">
        <v>481</v>
      </c>
      <c r="C383" s="18" t="s">
        <v>482</v>
      </c>
      <c r="D383" s="19">
        <v>3206092</v>
      </c>
      <c r="E383" s="19">
        <v>2</v>
      </c>
      <c r="F383" s="19"/>
      <c r="G383" s="19">
        <v>430</v>
      </c>
      <c r="H383" s="19">
        <v>8.1999999999999993</v>
      </c>
      <c r="I383" s="19" t="s">
        <v>483</v>
      </c>
      <c r="J383" s="19" t="s">
        <v>97</v>
      </c>
      <c r="K383" s="19" t="b">
        <v>0</v>
      </c>
      <c r="L383" s="15">
        <v>2024</v>
      </c>
      <c r="M383" s="16">
        <v>2563945</v>
      </c>
      <c r="N383" s="20">
        <v>41529</v>
      </c>
      <c r="O383" s="20">
        <v>41529</v>
      </c>
    </row>
    <row r="384" spans="1:15">
      <c r="A384" s="17">
        <v>2013</v>
      </c>
      <c r="B384" s="18" t="s">
        <v>481</v>
      </c>
      <c r="C384" s="18" t="s">
        <v>482</v>
      </c>
      <c r="D384" s="19">
        <v>3206092</v>
      </c>
      <c r="E384" s="19">
        <v>2</v>
      </c>
      <c r="F384" s="19"/>
      <c r="G384" s="19">
        <v>120</v>
      </c>
      <c r="H384" s="19">
        <v>2</v>
      </c>
      <c r="I384" s="19" t="s">
        <v>496</v>
      </c>
      <c r="J384" s="19" t="s">
        <v>21</v>
      </c>
      <c r="K384" s="19" t="b">
        <v>0</v>
      </c>
      <c r="L384" s="15">
        <v>2025</v>
      </c>
      <c r="M384" s="16">
        <v>21012625</v>
      </c>
      <c r="N384" s="20">
        <v>41529</v>
      </c>
      <c r="O384" s="20">
        <v>41529</v>
      </c>
    </row>
    <row r="385" spans="1:15">
      <c r="A385" s="17">
        <v>2013</v>
      </c>
      <c r="B385" s="18" t="s">
        <v>481</v>
      </c>
      <c r="C385" s="18" t="s">
        <v>482</v>
      </c>
      <c r="D385" s="19">
        <v>3206092</v>
      </c>
      <c r="E385" s="19">
        <v>2</v>
      </c>
      <c r="F385" s="19"/>
      <c r="G385" s="19">
        <v>190</v>
      </c>
      <c r="H385" s="19">
        <v>2.2000000000000002</v>
      </c>
      <c r="I385" s="19"/>
      <c r="J385" s="19" t="s">
        <v>72</v>
      </c>
      <c r="K385" s="19" t="b">
        <v>0</v>
      </c>
      <c r="L385" s="15">
        <v>2018</v>
      </c>
      <c r="M385" s="16">
        <v>1204150</v>
      </c>
      <c r="N385" s="20">
        <v>41529</v>
      </c>
      <c r="O385" s="20">
        <v>41529</v>
      </c>
    </row>
    <row r="386" spans="1:15">
      <c r="A386" s="17">
        <v>2013</v>
      </c>
      <c r="B386" s="18" t="s">
        <v>481</v>
      </c>
      <c r="C386" s="18" t="s">
        <v>482</v>
      </c>
      <c r="D386" s="19">
        <v>3206092</v>
      </c>
      <c r="E386" s="19">
        <v>2</v>
      </c>
      <c r="F386" s="19"/>
      <c r="G386" s="19">
        <v>540</v>
      </c>
      <c r="H386" s="19" t="s">
        <v>109</v>
      </c>
      <c r="I386" s="19" t="s">
        <v>499</v>
      </c>
      <c r="J386" s="19" t="s">
        <v>110</v>
      </c>
      <c r="K386" s="19" t="b">
        <v>0</v>
      </c>
      <c r="L386" s="15">
        <v>2014</v>
      </c>
      <c r="M386" s="16">
        <v>95</v>
      </c>
      <c r="N386" s="20">
        <v>41529</v>
      </c>
      <c r="O386" s="20">
        <v>41529</v>
      </c>
    </row>
    <row r="387" spans="1:15">
      <c r="A387" s="17">
        <v>2013</v>
      </c>
      <c r="B387" s="18" t="s">
        <v>481</v>
      </c>
      <c r="C387" s="18" t="s">
        <v>482</v>
      </c>
      <c r="D387" s="19">
        <v>3206092</v>
      </c>
      <c r="E387" s="19">
        <v>2</v>
      </c>
      <c r="F387" s="19"/>
      <c r="G387" s="19">
        <v>530</v>
      </c>
      <c r="H387" s="19">
        <v>9.8000000000000007</v>
      </c>
      <c r="I387" s="19" t="s">
        <v>486</v>
      </c>
      <c r="J387" s="19" t="s">
        <v>108</v>
      </c>
      <c r="K387" s="19" t="b">
        <v>0</v>
      </c>
      <c r="L387" s="15">
        <v>2024</v>
      </c>
      <c r="M387" s="16">
        <v>499</v>
      </c>
      <c r="N387" s="20">
        <v>41529</v>
      </c>
      <c r="O387" s="20">
        <v>41529</v>
      </c>
    </row>
    <row r="388" spans="1:15">
      <c r="A388" s="17">
        <v>2013</v>
      </c>
      <c r="B388" s="18" t="s">
        <v>481</v>
      </c>
      <c r="C388" s="18" t="s">
        <v>482</v>
      </c>
      <c r="D388" s="19">
        <v>3206092</v>
      </c>
      <c r="E388" s="19">
        <v>2</v>
      </c>
      <c r="F388" s="19"/>
      <c r="G388" s="19">
        <v>590</v>
      </c>
      <c r="H388" s="19">
        <v>11.2</v>
      </c>
      <c r="I388" s="19"/>
      <c r="J388" s="19" t="s">
        <v>115</v>
      </c>
      <c r="K388" s="19" t="b">
        <v>1</v>
      </c>
      <c r="L388" s="15">
        <v>2019</v>
      </c>
      <c r="M388" s="16">
        <v>3600000</v>
      </c>
      <c r="N388" s="20">
        <v>41529</v>
      </c>
      <c r="O388" s="20">
        <v>41529</v>
      </c>
    </row>
    <row r="389" spans="1:15">
      <c r="A389" s="17">
        <v>2013</v>
      </c>
      <c r="B389" s="18" t="s">
        <v>481</v>
      </c>
      <c r="C389" s="18" t="s">
        <v>482</v>
      </c>
      <c r="D389" s="19">
        <v>3206092</v>
      </c>
      <c r="E389" s="19">
        <v>2</v>
      </c>
      <c r="F389" s="19"/>
      <c r="G389" s="19">
        <v>520</v>
      </c>
      <c r="H389" s="19" t="s">
        <v>106</v>
      </c>
      <c r="I389" s="19"/>
      <c r="J389" s="19" t="s">
        <v>493</v>
      </c>
      <c r="K389" s="19" t="b">
        <v>1</v>
      </c>
      <c r="L389" s="15">
        <v>2017</v>
      </c>
      <c r="M389" s="16">
        <v>6.8400000000000002E-2</v>
      </c>
      <c r="N389" s="20">
        <v>41529</v>
      </c>
      <c r="O389" s="20">
        <v>41529</v>
      </c>
    </row>
    <row r="390" spans="1:15">
      <c r="A390" s="17">
        <v>2013</v>
      </c>
      <c r="B390" s="18" t="s">
        <v>481</v>
      </c>
      <c r="C390" s="18" t="s">
        <v>482</v>
      </c>
      <c r="D390" s="19">
        <v>3206092</v>
      </c>
      <c r="E390" s="19">
        <v>2</v>
      </c>
      <c r="F390" s="19"/>
      <c r="G390" s="19">
        <v>40</v>
      </c>
      <c r="H390" s="19" t="s">
        <v>46</v>
      </c>
      <c r="I390" s="19"/>
      <c r="J390" s="19" t="s">
        <v>47</v>
      </c>
      <c r="K390" s="19" t="b">
        <v>1</v>
      </c>
      <c r="L390" s="15">
        <v>2022</v>
      </c>
      <c r="M390" s="16">
        <v>13000</v>
      </c>
      <c r="N390" s="20">
        <v>41529</v>
      </c>
      <c r="O390" s="20">
        <v>41529</v>
      </c>
    </row>
    <row r="391" spans="1:15">
      <c r="A391" s="17">
        <v>2013</v>
      </c>
      <c r="B391" s="18" t="s">
        <v>481</v>
      </c>
      <c r="C391" s="18" t="s">
        <v>482</v>
      </c>
      <c r="D391" s="19">
        <v>3206092</v>
      </c>
      <c r="E391" s="19">
        <v>2</v>
      </c>
      <c r="F391" s="19"/>
      <c r="G391" s="19">
        <v>550</v>
      </c>
      <c r="H391" s="19">
        <v>10</v>
      </c>
      <c r="I391" s="19"/>
      <c r="J391" s="19" t="s">
        <v>111</v>
      </c>
      <c r="K391" s="19" t="b">
        <v>0</v>
      </c>
      <c r="L391" s="15">
        <v>2020</v>
      </c>
      <c r="M391" s="16">
        <v>1300000</v>
      </c>
      <c r="N391" s="20">
        <v>41529</v>
      </c>
      <c r="O391" s="20">
        <v>41529</v>
      </c>
    </row>
    <row r="392" spans="1:15">
      <c r="A392" s="17">
        <v>2013</v>
      </c>
      <c r="B392" s="18" t="s">
        <v>481</v>
      </c>
      <c r="C392" s="18" t="s">
        <v>482</v>
      </c>
      <c r="D392" s="19">
        <v>3206092</v>
      </c>
      <c r="E392" s="19">
        <v>2</v>
      </c>
      <c r="F392" s="19"/>
      <c r="G392" s="19">
        <v>530</v>
      </c>
      <c r="H392" s="19">
        <v>9.8000000000000007</v>
      </c>
      <c r="I392" s="19" t="s">
        <v>486</v>
      </c>
      <c r="J392" s="19" t="s">
        <v>108</v>
      </c>
      <c r="K392" s="19" t="b">
        <v>0</v>
      </c>
      <c r="L392" s="15">
        <v>2023</v>
      </c>
      <c r="M392" s="16">
        <v>287</v>
      </c>
      <c r="N392" s="20">
        <v>41529</v>
      </c>
      <c r="O392" s="20">
        <v>41529</v>
      </c>
    </row>
    <row r="393" spans="1:15">
      <c r="A393" s="17">
        <v>2013</v>
      </c>
      <c r="B393" s="18" t="s">
        <v>481</v>
      </c>
      <c r="C393" s="18" t="s">
        <v>482</v>
      </c>
      <c r="D393" s="19">
        <v>3206092</v>
      </c>
      <c r="E393" s="19">
        <v>2</v>
      </c>
      <c r="F393" s="19"/>
      <c r="G393" s="19">
        <v>500</v>
      </c>
      <c r="H393" s="19">
        <v>9.6</v>
      </c>
      <c r="I393" s="19" t="s">
        <v>488</v>
      </c>
      <c r="J393" s="19" t="s">
        <v>102</v>
      </c>
      <c r="K393" s="19" t="b">
        <v>0</v>
      </c>
      <c r="L393" s="15">
        <v>2025</v>
      </c>
      <c r="M393" s="16">
        <v>3.56E-2</v>
      </c>
      <c r="N393" s="20">
        <v>41529</v>
      </c>
      <c r="O393" s="20">
        <v>41529</v>
      </c>
    </row>
    <row r="394" spans="1:15">
      <c r="A394" s="17">
        <v>2013</v>
      </c>
      <c r="B394" s="18" t="s">
        <v>481</v>
      </c>
      <c r="C394" s="18" t="s">
        <v>482</v>
      </c>
      <c r="D394" s="19">
        <v>3206092</v>
      </c>
      <c r="E394" s="19">
        <v>2</v>
      </c>
      <c r="F394" s="19"/>
      <c r="G394" s="19">
        <v>760</v>
      </c>
      <c r="H394" s="19">
        <v>12.4</v>
      </c>
      <c r="I394" s="19"/>
      <c r="J394" s="19" t="s">
        <v>140</v>
      </c>
      <c r="K394" s="19" t="b">
        <v>1</v>
      </c>
      <c r="L394" s="15">
        <v>2013</v>
      </c>
      <c r="M394" s="16">
        <v>2467120</v>
      </c>
      <c r="N394" s="20">
        <v>41529</v>
      </c>
      <c r="O394" s="20">
        <v>41529</v>
      </c>
    </row>
    <row r="395" spans="1:15">
      <c r="A395" s="17">
        <v>2013</v>
      </c>
      <c r="B395" s="18" t="s">
        <v>481</v>
      </c>
      <c r="C395" s="18" t="s">
        <v>482</v>
      </c>
      <c r="D395" s="19">
        <v>3206092</v>
      </c>
      <c r="E395" s="19">
        <v>2</v>
      </c>
      <c r="F395" s="19"/>
      <c r="G395" s="19">
        <v>590</v>
      </c>
      <c r="H395" s="19">
        <v>11.2</v>
      </c>
      <c r="I395" s="19"/>
      <c r="J395" s="19" t="s">
        <v>115</v>
      </c>
      <c r="K395" s="19" t="b">
        <v>1</v>
      </c>
      <c r="L395" s="15">
        <v>2014</v>
      </c>
      <c r="M395" s="16">
        <v>3200000</v>
      </c>
      <c r="N395" s="20">
        <v>41529</v>
      </c>
      <c r="O395" s="20">
        <v>41529</v>
      </c>
    </row>
    <row r="396" spans="1:15">
      <c r="A396" s="17">
        <v>2013</v>
      </c>
      <c r="B396" s="18" t="s">
        <v>481</v>
      </c>
      <c r="C396" s="18" t="s">
        <v>482</v>
      </c>
      <c r="D396" s="19">
        <v>3206092</v>
      </c>
      <c r="E396" s="19">
        <v>2</v>
      </c>
      <c r="F396" s="19"/>
      <c r="G396" s="19">
        <v>70</v>
      </c>
      <c r="H396" s="19" t="s">
        <v>52</v>
      </c>
      <c r="I396" s="19"/>
      <c r="J396" s="19" t="s">
        <v>53</v>
      </c>
      <c r="K396" s="19" t="b">
        <v>1</v>
      </c>
      <c r="L396" s="15">
        <v>2023</v>
      </c>
      <c r="M396" s="16">
        <v>7673000</v>
      </c>
      <c r="N396" s="20">
        <v>41529</v>
      </c>
      <c r="O396" s="20">
        <v>41529</v>
      </c>
    </row>
    <row r="397" spans="1:15">
      <c r="A397" s="17">
        <v>2013</v>
      </c>
      <c r="B397" s="18" t="s">
        <v>481</v>
      </c>
      <c r="C397" s="18" t="s">
        <v>482</v>
      </c>
      <c r="D397" s="19">
        <v>3206092</v>
      </c>
      <c r="E397" s="19">
        <v>2</v>
      </c>
      <c r="F397" s="19"/>
      <c r="G397" s="19">
        <v>560</v>
      </c>
      <c r="H397" s="19">
        <v>10.1</v>
      </c>
      <c r="I397" s="19"/>
      <c r="J397" s="19" t="s">
        <v>112</v>
      </c>
      <c r="K397" s="19" t="b">
        <v>0</v>
      </c>
      <c r="L397" s="15">
        <v>2024</v>
      </c>
      <c r="M397" s="16">
        <v>1548000</v>
      </c>
      <c r="N397" s="20">
        <v>41529</v>
      </c>
      <c r="O397" s="20">
        <v>41529</v>
      </c>
    </row>
    <row r="398" spans="1:15">
      <c r="A398" s="17">
        <v>2013</v>
      </c>
      <c r="B398" s="18" t="s">
        <v>481</v>
      </c>
      <c r="C398" s="18" t="s">
        <v>482</v>
      </c>
      <c r="D398" s="19">
        <v>3206092</v>
      </c>
      <c r="E398" s="19">
        <v>2</v>
      </c>
      <c r="F398" s="19"/>
      <c r="G398" s="19">
        <v>70</v>
      </c>
      <c r="H398" s="19" t="s">
        <v>52</v>
      </c>
      <c r="I398" s="19"/>
      <c r="J398" s="19" t="s">
        <v>53</v>
      </c>
      <c r="K398" s="19" t="b">
        <v>1</v>
      </c>
      <c r="L398" s="15">
        <v>2016</v>
      </c>
      <c r="M398" s="16">
        <v>6374000</v>
      </c>
      <c r="N398" s="20">
        <v>41529</v>
      </c>
      <c r="O398" s="20">
        <v>41529</v>
      </c>
    </row>
    <row r="399" spans="1:15">
      <c r="A399" s="17">
        <v>2013</v>
      </c>
      <c r="B399" s="18" t="s">
        <v>481</v>
      </c>
      <c r="C399" s="18" t="s">
        <v>482</v>
      </c>
      <c r="D399" s="19">
        <v>3206092</v>
      </c>
      <c r="E399" s="19">
        <v>2</v>
      </c>
      <c r="F399" s="19"/>
      <c r="G399" s="19">
        <v>40</v>
      </c>
      <c r="H399" s="19" t="s">
        <v>46</v>
      </c>
      <c r="I399" s="19"/>
      <c r="J399" s="19" t="s">
        <v>47</v>
      </c>
      <c r="K399" s="19" t="b">
        <v>1</v>
      </c>
      <c r="L399" s="15">
        <v>2023</v>
      </c>
      <c r="M399" s="16">
        <v>14000</v>
      </c>
      <c r="N399" s="20">
        <v>41529</v>
      </c>
      <c r="O399" s="20">
        <v>41529</v>
      </c>
    </row>
    <row r="400" spans="1:15">
      <c r="A400" s="17">
        <v>2013</v>
      </c>
      <c r="B400" s="18" t="s">
        <v>481</v>
      </c>
      <c r="C400" s="18" t="s">
        <v>482</v>
      </c>
      <c r="D400" s="19">
        <v>3206092</v>
      </c>
      <c r="E400" s="19">
        <v>2</v>
      </c>
      <c r="F400" s="19"/>
      <c r="G400" s="19">
        <v>480</v>
      </c>
      <c r="H400" s="19">
        <v>9.4</v>
      </c>
      <c r="I400" s="19" t="s">
        <v>487</v>
      </c>
      <c r="J400" s="19" t="s">
        <v>100</v>
      </c>
      <c r="K400" s="19" t="b">
        <v>0</v>
      </c>
      <c r="L400" s="15">
        <v>2023</v>
      </c>
      <c r="M400" s="16">
        <v>8.2500000000000004E-2</v>
      </c>
      <c r="N400" s="20">
        <v>41529</v>
      </c>
      <c r="O400" s="20">
        <v>41529</v>
      </c>
    </row>
    <row r="401" spans="1:15">
      <c r="A401" s="17">
        <v>2013</v>
      </c>
      <c r="B401" s="18" t="s">
        <v>481</v>
      </c>
      <c r="C401" s="18" t="s">
        <v>482</v>
      </c>
      <c r="D401" s="19">
        <v>3206092</v>
      </c>
      <c r="E401" s="19">
        <v>2</v>
      </c>
      <c r="F401" s="19"/>
      <c r="G401" s="19">
        <v>740</v>
      </c>
      <c r="H401" s="19" t="s">
        <v>136</v>
      </c>
      <c r="I401" s="19"/>
      <c r="J401" s="19" t="s">
        <v>137</v>
      </c>
      <c r="K401" s="19" t="b">
        <v>0</v>
      </c>
      <c r="L401" s="15">
        <v>2013</v>
      </c>
      <c r="M401" s="16">
        <v>313684</v>
      </c>
      <c r="N401" s="20">
        <v>41529</v>
      </c>
      <c r="O401" s="20">
        <v>41529</v>
      </c>
    </row>
    <row r="402" spans="1:15">
      <c r="A402" s="17">
        <v>2013</v>
      </c>
      <c r="B402" s="18" t="s">
        <v>481</v>
      </c>
      <c r="C402" s="18" t="s">
        <v>482</v>
      </c>
      <c r="D402" s="19">
        <v>3206092</v>
      </c>
      <c r="E402" s="19">
        <v>2</v>
      </c>
      <c r="F402" s="19"/>
      <c r="G402" s="19">
        <v>590</v>
      </c>
      <c r="H402" s="19">
        <v>11.2</v>
      </c>
      <c r="I402" s="19"/>
      <c r="J402" s="19" t="s">
        <v>115</v>
      </c>
      <c r="K402" s="19" t="b">
        <v>1</v>
      </c>
      <c r="L402" s="15">
        <v>2024</v>
      </c>
      <c r="M402" s="16">
        <v>4100000</v>
      </c>
      <c r="N402" s="20">
        <v>41529</v>
      </c>
      <c r="O402" s="20">
        <v>41529</v>
      </c>
    </row>
    <row r="403" spans="1:15">
      <c r="A403" s="17">
        <v>2013</v>
      </c>
      <c r="B403" s="18" t="s">
        <v>481</v>
      </c>
      <c r="C403" s="18" t="s">
        <v>482</v>
      </c>
      <c r="D403" s="19">
        <v>3206092</v>
      </c>
      <c r="E403" s="19">
        <v>2</v>
      </c>
      <c r="F403" s="19"/>
      <c r="G403" s="19">
        <v>590</v>
      </c>
      <c r="H403" s="19">
        <v>11.2</v>
      </c>
      <c r="I403" s="19"/>
      <c r="J403" s="19" t="s">
        <v>115</v>
      </c>
      <c r="K403" s="19" t="b">
        <v>1</v>
      </c>
      <c r="L403" s="15">
        <v>2013</v>
      </c>
      <c r="M403" s="16">
        <v>3184091</v>
      </c>
      <c r="N403" s="20">
        <v>41529</v>
      </c>
      <c r="O403" s="20">
        <v>41529</v>
      </c>
    </row>
    <row r="404" spans="1:15">
      <c r="A404" s="17">
        <v>2013</v>
      </c>
      <c r="B404" s="18" t="s">
        <v>481</v>
      </c>
      <c r="C404" s="18" t="s">
        <v>482</v>
      </c>
      <c r="D404" s="19">
        <v>3206092</v>
      </c>
      <c r="E404" s="19">
        <v>2</v>
      </c>
      <c r="F404" s="19"/>
      <c r="G404" s="19">
        <v>530</v>
      </c>
      <c r="H404" s="19">
        <v>9.8000000000000007</v>
      </c>
      <c r="I404" s="19" t="s">
        <v>486</v>
      </c>
      <c r="J404" s="19" t="s">
        <v>108</v>
      </c>
      <c r="K404" s="19" t="b">
        <v>0</v>
      </c>
      <c r="L404" s="15">
        <v>2021</v>
      </c>
      <c r="M404" s="16">
        <v>109</v>
      </c>
      <c r="N404" s="20">
        <v>41529</v>
      </c>
      <c r="O404" s="20">
        <v>41529</v>
      </c>
    </row>
    <row r="405" spans="1:15">
      <c r="A405" s="17">
        <v>2013</v>
      </c>
      <c r="B405" s="18" t="s">
        <v>481</v>
      </c>
      <c r="C405" s="18" t="s">
        <v>482</v>
      </c>
      <c r="D405" s="19">
        <v>3206092</v>
      </c>
      <c r="E405" s="19">
        <v>2</v>
      </c>
      <c r="F405" s="19"/>
      <c r="G405" s="19">
        <v>390</v>
      </c>
      <c r="H405" s="19">
        <v>6.3</v>
      </c>
      <c r="I405" s="19" t="s">
        <v>498</v>
      </c>
      <c r="J405" s="19" t="s">
        <v>94</v>
      </c>
      <c r="K405" s="19" t="b">
        <v>0</v>
      </c>
      <c r="L405" s="15">
        <v>2020</v>
      </c>
      <c r="M405" s="16">
        <v>0.33660000000000001</v>
      </c>
      <c r="N405" s="20">
        <v>41529</v>
      </c>
      <c r="O405" s="20">
        <v>41529</v>
      </c>
    </row>
    <row r="406" spans="1:15">
      <c r="A406" s="17">
        <v>2013</v>
      </c>
      <c r="B406" s="18" t="s">
        <v>481</v>
      </c>
      <c r="C406" s="18" t="s">
        <v>482</v>
      </c>
      <c r="D406" s="19">
        <v>3206092</v>
      </c>
      <c r="E406" s="19">
        <v>2</v>
      </c>
      <c r="F406" s="19"/>
      <c r="G406" s="19">
        <v>690</v>
      </c>
      <c r="H406" s="19" t="s">
        <v>128</v>
      </c>
      <c r="I406" s="19"/>
      <c r="J406" s="19" t="s">
        <v>129</v>
      </c>
      <c r="K406" s="19" t="b">
        <v>1</v>
      </c>
      <c r="L406" s="15">
        <v>2013</v>
      </c>
      <c r="M406" s="16">
        <v>212464</v>
      </c>
      <c r="N406" s="20">
        <v>41529</v>
      </c>
      <c r="O406" s="20">
        <v>41529</v>
      </c>
    </row>
    <row r="407" spans="1:15">
      <c r="A407" s="17">
        <v>2013</v>
      </c>
      <c r="B407" s="18" t="s">
        <v>481</v>
      </c>
      <c r="C407" s="18" t="s">
        <v>482</v>
      </c>
      <c r="D407" s="19">
        <v>3206092</v>
      </c>
      <c r="E407" s="19">
        <v>2</v>
      </c>
      <c r="F407" s="19"/>
      <c r="G407" s="19">
        <v>20</v>
      </c>
      <c r="H407" s="19">
        <v>1.1000000000000001</v>
      </c>
      <c r="I407" s="19"/>
      <c r="J407" s="19" t="s">
        <v>43</v>
      </c>
      <c r="K407" s="19" t="b">
        <v>1</v>
      </c>
      <c r="L407" s="15">
        <v>2023</v>
      </c>
      <c r="M407" s="16">
        <v>20223984</v>
      </c>
      <c r="N407" s="20">
        <v>41529</v>
      </c>
      <c r="O407" s="20">
        <v>41529</v>
      </c>
    </row>
    <row r="408" spans="1:15">
      <c r="A408" s="17">
        <v>2013</v>
      </c>
      <c r="B408" s="18" t="s">
        <v>481</v>
      </c>
      <c r="C408" s="18" t="s">
        <v>482</v>
      </c>
      <c r="D408" s="19">
        <v>3206092</v>
      </c>
      <c r="E408" s="19">
        <v>2</v>
      </c>
      <c r="F408" s="19"/>
      <c r="G408" s="19">
        <v>300</v>
      </c>
      <c r="H408" s="19">
        <v>5</v>
      </c>
      <c r="I408" s="19" t="s">
        <v>500</v>
      </c>
      <c r="J408" s="19" t="s">
        <v>83</v>
      </c>
      <c r="K408" s="19" t="b">
        <v>0</v>
      </c>
      <c r="L408" s="15">
        <v>2016</v>
      </c>
      <c r="M408" s="16">
        <v>400000</v>
      </c>
      <c r="N408" s="20">
        <v>41529</v>
      </c>
      <c r="O408" s="20">
        <v>41529</v>
      </c>
    </row>
    <row r="409" spans="1:15">
      <c r="A409" s="17">
        <v>2013</v>
      </c>
      <c r="B409" s="18" t="s">
        <v>481</v>
      </c>
      <c r="C409" s="18" t="s">
        <v>482</v>
      </c>
      <c r="D409" s="19">
        <v>3206092</v>
      </c>
      <c r="E409" s="19">
        <v>2</v>
      </c>
      <c r="F409" s="19"/>
      <c r="G409" s="19">
        <v>300</v>
      </c>
      <c r="H409" s="19">
        <v>5</v>
      </c>
      <c r="I409" s="19" t="s">
        <v>500</v>
      </c>
      <c r="J409" s="19" t="s">
        <v>83</v>
      </c>
      <c r="K409" s="19" t="b">
        <v>0</v>
      </c>
      <c r="L409" s="15">
        <v>2014</v>
      </c>
      <c r="M409" s="16">
        <v>1057000</v>
      </c>
      <c r="N409" s="20">
        <v>41529</v>
      </c>
      <c r="O409" s="20">
        <v>41529</v>
      </c>
    </row>
    <row r="410" spans="1:15">
      <c r="A410" s="17">
        <v>2013</v>
      </c>
      <c r="B410" s="18" t="s">
        <v>481</v>
      </c>
      <c r="C410" s="18" t="s">
        <v>482</v>
      </c>
      <c r="D410" s="19">
        <v>3206092</v>
      </c>
      <c r="E410" s="19">
        <v>2</v>
      </c>
      <c r="F410" s="19"/>
      <c r="G410" s="19">
        <v>180</v>
      </c>
      <c r="H410" s="19" t="s">
        <v>70</v>
      </c>
      <c r="I410" s="19"/>
      <c r="J410" s="19" t="s">
        <v>71</v>
      </c>
      <c r="K410" s="19" t="b">
        <v>0</v>
      </c>
      <c r="L410" s="15">
        <v>2016</v>
      </c>
      <c r="M410" s="16">
        <v>600000</v>
      </c>
      <c r="N410" s="20">
        <v>41529</v>
      </c>
      <c r="O410" s="20">
        <v>41529</v>
      </c>
    </row>
    <row r="411" spans="1:15">
      <c r="A411" s="17">
        <v>2013</v>
      </c>
      <c r="B411" s="18" t="s">
        <v>481</v>
      </c>
      <c r="C411" s="18" t="s">
        <v>482</v>
      </c>
      <c r="D411" s="19">
        <v>3206092</v>
      </c>
      <c r="E411" s="19">
        <v>2</v>
      </c>
      <c r="F411" s="19"/>
      <c r="G411" s="19">
        <v>60</v>
      </c>
      <c r="H411" s="19" t="s">
        <v>50</v>
      </c>
      <c r="I411" s="19"/>
      <c r="J411" s="19" t="s">
        <v>51</v>
      </c>
      <c r="K411" s="19" t="b">
        <v>1</v>
      </c>
      <c r="L411" s="15">
        <v>2019</v>
      </c>
      <c r="M411" s="16">
        <v>3309000</v>
      </c>
      <c r="N411" s="20">
        <v>41529</v>
      </c>
      <c r="O411" s="20">
        <v>41529</v>
      </c>
    </row>
    <row r="412" spans="1:15">
      <c r="A412" s="17">
        <v>2013</v>
      </c>
      <c r="B412" s="18" t="s">
        <v>481</v>
      </c>
      <c r="C412" s="18" t="s">
        <v>482</v>
      </c>
      <c r="D412" s="19">
        <v>3206092</v>
      </c>
      <c r="E412" s="19">
        <v>2</v>
      </c>
      <c r="F412" s="19"/>
      <c r="G412" s="19">
        <v>90</v>
      </c>
      <c r="H412" s="19">
        <v>1.2</v>
      </c>
      <c r="I412" s="19"/>
      <c r="J412" s="19" t="s">
        <v>56</v>
      </c>
      <c r="K412" s="19" t="b">
        <v>1</v>
      </c>
      <c r="L412" s="15">
        <v>2017</v>
      </c>
      <c r="M412" s="16">
        <v>300000</v>
      </c>
      <c r="N412" s="20">
        <v>41529</v>
      </c>
      <c r="O412" s="20">
        <v>41529</v>
      </c>
    </row>
    <row r="413" spans="1:15">
      <c r="A413" s="17">
        <v>2013</v>
      </c>
      <c r="B413" s="18" t="s">
        <v>481</v>
      </c>
      <c r="C413" s="18" t="s">
        <v>482</v>
      </c>
      <c r="D413" s="19">
        <v>3206092</v>
      </c>
      <c r="E413" s="19">
        <v>2</v>
      </c>
      <c r="F413" s="19"/>
      <c r="G413" s="19">
        <v>50</v>
      </c>
      <c r="H413" s="19" t="s">
        <v>48</v>
      </c>
      <c r="I413" s="19"/>
      <c r="J413" s="19" t="s">
        <v>49</v>
      </c>
      <c r="K413" s="19" t="b">
        <v>1</v>
      </c>
      <c r="L413" s="15">
        <v>2019</v>
      </c>
      <c r="M413" s="16">
        <v>5605000</v>
      </c>
      <c r="N413" s="20">
        <v>41529</v>
      </c>
      <c r="O413" s="20">
        <v>41529</v>
      </c>
    </row>
    <row r="414" spans="1:15">
      <c r="A414" s="17">
        <v>2013</v>
      </c>
      <c r="B414" s="18" t="s">
        <v>481</v>
      </c>
      <c r="C414" s="18" t="s">
        <v>482</v>
      </c>
      <c r="D414" s="19">
        <v>3206092</v>
      </c>
      <c r="E414" s="19">
        <v>2</v>
      </c>
      <c r="F414" s="19"/>
      <c r="G414" s="19">
        <v>30</v>
      </c>
      <c r="H414" s="19" t="s">
        <v>44</v>
      </c>
      <c r="I414" s="19"/>
      <c r="J414" s="19" t="s">
        <v>45</v>
      </c>
      <c r="K414" s="19" t="b">
        <v>1</v>
      </c>
      <c r="L414" s="15">
        <v>2019</v>
      </c>
      <c r="M414" s="16">
        <v>1671000</v>
      </c>
      <c r="N414" s="20">
        <v>41529</v>
      </c>
      <c r="O414" s="20">
        <v>41529</v>
      </c>
    </row>
    <row r="415" spans="1:15">
      <c r="A415" s="17">
        <v>2013</v>
      </c>
      <c r="B415" s="18" t="s">
        <v>481</v>
      </c>
      <c r="C415" s="18" t="s">
        <v>482</v>
      </c>
      <c r="D415" s="19">
        <v>3206092</v>
      </c>
      <c r="E415" s="19">
        <v>2</v>
      </c>
      <c r="F415" s="19"/>
      <c r="G415" s="19">
        <v>60</v>
      </c>
      <c r="H415" s="19" t="s">
        <v>50</v>
      </c>
      <c r="I415" s="19"/>
      <c r="J415" s="19" t="s">
        <v>51</v>
      </c>
      <c r="K415" s="19" t="b">
        <v>1</v>
      </c>
      <c r="L415" s="15">
        <v>2018</v>
      </c>
      <c r="M415" s="16">
        <v>3213000</v>
      </c>
      <c r="N415" s="20">
        <v>41529</v>
      </c>
      <c r="O415" s="20">
        <v>41529</v>
      </c>
    </row>
    <row r="416" spans="1:15">
      <c r="A416" s="17">
        <v>2013</v>
      </c>
      <c r="B416" s="18" t="s">
        <v>481</v>
      </c>
      <c r="C416" s="18" t="s">
        <v>482</v>
      </c>
      <c r="D416" s="19">
        <v>3206092</v>
      </c>
      <c r="E416" s="19">
        <v>2</v>
      </c>
      <c r="F416" s="19"/>
      <c r="G416" s="19">
        <v>510</v>
      </c>
      <c r="H416" s="19">
        <v>9.6999999999999993</v>
      </c>
      <c r="I416" s="19"/>
      <c r="J416" s="19" t="s">
        <v>484</v>
      </c>
      <c r="K416" s="19" t="b">
        <v>1</v>
      </c>
      <c r="L416" s="15">
        <v>2020</v>
      </c>
      <c r="M416" s="16">
        <v>9.3899999999999997E-2</v>
      </c>
      <c r="N416" s="20">
        <v>41529</v>
      </c>
      <c r="O416" s="20">
        <v>41529</v>
      </c>
    </row>
    <row r="417" spans="1:15">
      <c r="A417" s="17">
        <v>2013</v>
      </c>
      <c r="B417" s="18" t="s">
        <v>481</v>
      </c>
      <c r="C417" s="18" t="s">
        <v>482</v>
      </c>
      <c r="D417" s="19">
        <v>3206092</v>
      </c>
      <c r="E417" s="19">
        <v>2</v>
      </c>
      <c r="F417" s="19"/>
      <c r="G417" s="19">
        <v>170</v>
      </c>
      <c r="H417" s="19" t="s">
        <v>68</v>
      </c>
      <c r="I417" s="19"/>
      <c r="J417" s="19" t="s">
        <v>69</v>
      </c>
      <c r="K417" s="19" t="b">
        <v>1</v>
      </c>
      <c r="L417" s="15">
        <v>2017</v>
      </c>
      <c r="M417" s="16">
        <v>557000</v>
      </c>
      <c r="N417" s="20">
        <v>41529</v>
      </c>
      <c r="O417" s="20">
        <v>41529</v>
      </c>
    </row>
    <row r="418" spans="1:15">
      <c r="A418" s="17">
        <v>2013</v>
      </c>
      <c r="B418" s="18" t="s">
        <v>481</v>
      </c>
      <c r="C418" s="18" t="s">
        <v>482</v>
      </c>
      <c r="D418" s="19">
        <v>3206092</v>
      </c>
      <c r="E418" s="19">
        <v>2</v>
      </c>
      <c r="F418" s="19"/>
      <c r="G418" s="19">
        <v>520</v>
      </c>
      <c r="H418" s="19" t="s">
        <v>106</v>
      </c>
      <c r="I418" s="19"/>
      <c r="J418" s="19" t="s">
        <v>493</v>
      </c>
      <c r="K418" s="19" t="b">
        <v>1</v>
      </c>
      <c r="L418" s="15">
        <v>2024</v>
      </c>
      <c r="M418" s="16">
        <v>0.12759999999999999</v>
      </c>
      <c r="N418" s="20">
        <v>41529</v>
      </c>
      <c r="O418" s="20">
        <v>41529</v>
      </c>
    </row>
    <row r="419" spans="1:15">
      <c r="A419" s="17">
        <v>2013</v>
      </c>
      <c r="B419" s="18" t="s">
        <v>481</v>
      </c>
      <c r="C419" s="18" t="s">
        <v>482</v>
      </c>
      <c r="D419" s="19">
        <v>3206092</v>
      </c>
      <c r="E419" s="19">
        <v>2</v>
      </c>
      <c r="F419" s="19"/>
      <c r="G419" s="19">
        <v>430</v>
      </c>
      <c r="H419" s="19">
        <v>8.1999999999999993</v>
      </c>
      <c r="I419" s="19" t="s">
        <v>483</v>
      </c>
      <c r="J419" s="19" t="s">
        <v>97</v>
      </c>
      <c r="K419" s="19" t="b">
        <v>0</v>
      </c>
      <c r="L419" s="15">
        <v>2025</v>
      </c>
      <c r="M419" s="16">
        <v>2736654</v>
      </c>
      <c r="N419" s="20">
        <v>41529</v>
      </c>
      <c r="O419" s="20">
        <v>41529</v>
      </c>
    </row>
    <row r="420" spans="1:15">
      <c r="A420" s="17">
        <v>2013</v>
      </c>
      <c r="B420" s="18" t="s">
        <v>481</v>
      </c>
      <c r="C420" s="18" t="s">
        <v>482</v>
      </c>
      <c r="D420" s="19">
        <v>3206092</v>
      </c>
      <c r="E420" s="19">
        <v>2</v>
      </c>
      <c r="F420" s="19"/>
      <c r="G420" s="19">
        <v>70</v>
      </c>
      <c r="H420" s="19" t="s">
        <v>52</v>
      </c>
      <c r="I420" s="19"/>
      <c r="J420" s="19" t="s">
        <v>53</v>
      </c>
      <c r="K420" s="19" t="b">
        <v>1</v>
      </c>
      <c r="L420" s="15">
        <v>2014</v>
      </c>
      <c r="M420" s="16">
        <v>6071000</v>
      </c>
      <c r="N420" s="20">
        <v>41529</v>
      </c>
      <c r="O420" s="20">
        <v>41529</v>
      </c>
    </row>
    <row r="421" spans="1:15">
      <c r="A421" s="17">
        <v>2013</v>
      </c>
      <c r="B421" s="18" t="s">
        <v>481</v>
      </c>
      <c r="C421" s="18" t="s">
        <v>482</v>
      </c>
      <c r="D421" s="19">
        <v>3206092</v>
      </c>
      <c r="E421" s="19">
        <v>2</v>
      </c>
      <c r="F421" s="19"/>
      <c r="G421" s="19">
        <v>600</v>
      </c>
      <c r="H421" s="19">
        <v>11.3</v>
      </c>
      <c r="I421" s="19" t="s">
        <v>503</v>
      </c>
      <c r="J421" s="19" t="s">
        <v>116</v>
      </c>
      <c r="K421" s="19" t="b">
        <v>1</v>
      </c>
      <c r="L421" s="15">
        <v>2015</v>
      </c>
      <c r="M421" s="16">
        <v>10456</v>
      </c>
      <c r="N421" s="20">
        <v>41529</v>
      </c>
      <c r="O421" s="20">
        <v>41529</v>
      </c>
    </row>
    <row r="422" spans="1:15">
      <c r="A422" s="17">
        <v>2013</v>
      </c>
      <c r="B422" s="18" t="s">
        <v>481</v>
      </c>
      <c r="C422" s="18" t="s">
        <v>482</v>
      </c>
      <c r="D422" s="19">
        <v>3206092</v>
      </c>
      <c r="E422" s="19">
        <v>2</v>
      </c>
      <c r="F422" s="19"/>
      <c r="G422" s="19">
        <v>880</v>
      </c>
      <c r="H422" s="19">
        <v>14.1</v>
      </c>
      <c r="I422" s="19"/>
      <c r="J422" s="19" t="s">
        <v>154</v>
      </c>
      <c r="K422" s="19" t="b">
        <v>1</v>
      </c>
      <c r="L422" s="15">
        <v>2017</v>
      </c>
      <c r="M422" s="16">
        <v>600000</v>
      </c>
      <c r="N422" s="20">
        <v>41529</v>
      </c>
      <c r="O422" s="20">
        <v>41529</v>
      </c>
    </row>
    <row r="423" spans="1:15">
      <c r="A423" s="17">
        <v>2013</v>
      </c>
      <c r="B423" s="18" t="s">
        <v>481</v>
      </c>
      <c r="C423" s="18" t="s">
        <v>482</v>
      </c>
      <c r="D423" s="19">
        <v>3206092</v>
      </c>
      <c r="E423" s="19">
        <v>2</v>
      </c>
      <c r="F423" s="19"/>
      <c r="G423" s="19">
        <v>450</v>
      </c>
      <c r="H423" s="19">
        <v>9.1</v>
      </c>
      <c r="I423" s="19" t="s">
        <v>489</v>
      </c>
      <c r="J423" s="19" t="s">
        <v>98</v>
      </c>
      <c r="K423" s="19" t="b">
        <v>1</v>
      </c>
      <c r="L423" s="15">
        <v>2016</v>
      </c>
      <c r="M423" s="16">
        <v>5.57E-2</v>
      </c>
      <c r="N423" s="20">
        <v>41529</v>
      </c>
      <c r="O423" s="20">
        <v>41529</v>
      </c>
    </row>
    <row r="424" spans="1:15">
      <c r="A424" s="17">
        <v>2013</v>
      </c>
      <c r="B424" s="18" t="s">
        <v>481</v>
      </c>
      <c r="C424" s="18" t="s">
        <v>482</v>
      </c>
      <c r="D424" s="19">
        <v>3206092</v>
      </c>
      <c r="E424" s="19">
        <v>2</v>
      </c>
      <c r="F424" s="19"/>
      <c r="G424" s="19">
        <v>470</v>
      </c>
      <c r="H424" s="19">
        <v>9.3000000000000007</v>
      </c>
      <c r="I424" s="19" t="s">
        <v>489</v>
      </c>
      <c r="J424" s="19" t="s">
        <v>490</v>
      </c>
      <c r="K424" s="19" t="b">
        <v>1</v>
      </c>
      <c r="L424" s="15">
        <v>2018</v>
      </c>
      <c r="M424" s="16">
        <v>6.0400000000000002E-2</v>
      </c>
      <c r="N424" s="20">
        <v>41529</v>
      </c>
      <c r="O424" s="20">
        <v>41529</v>
      </c>
    </row>
    <row r="425" spans="1:15">
      <c r="A425" s="17">
        <v>2013</v>
      </c>
      <c r="B425" s="18" t="s">
        <v>481</v>
      </c>
      <c r="C425" s="18" t="s">
        <v>482</v>
      </c>
      <c r="D425" s="19">
        <v>3206092</v>
      </c>
      <c r="E425" s="19">
        <v>2</v>
      </c>
      <c r="F425" s="19"/>
      <c r="G425" s="19">
        <v>390</v>
      </c>
      <c r="H425" s="19">
        <v>6.3</v>
      </c>
      <c r="I425" s="19" t="s">
        <v>498</v>
      </c>
      <c r="J425" s="19" t="s">
        <v>94</v>
      </c>
      <c r="K425" s="19" t="b">
        <v>0</v>
      </c>
      <c r="L425" s="15">
        <v>2015</v>
      </c>
      <c r="M425" s="16">
        <v>0.5927</v>
      </c>
      <c r="N425" s="20">
        <v>41529</v>
      </c>
      <c r="O425" s="20">
        <v>41529</v>
      </c>
    </row>
    <row r="426" spans="1:15">
      <c r="A426" s="17">
        <v>2013</v>
      </c>
      <c r="B426" s="18" t="s">
        <v>481</v>
      </c>
      <c r="C426" s="18" t="s">
        <v>482</v>
      </c>
      <c r="D426" s="19">
        <v>3206092</v>
      </c>
      <c r="E426" s="19">
        <v>2</v>
      </c>
      <c r="F426" s="19"/>
      <c r="G426" s="19">
        <v>60</v>
      </c>
      <c r="H426" s="19" t="s">
        <v>50</v>
      </c>
      <c r="I426" s="19"/>
      <c r="J426" s="19" t="s">
        <v>51</v>
      </c>
      <c r="K426" s="19" t="b">
        <v>1</v>
      </c>
      <c r="L426" s="15">
        <v>2017</v>
      </c>
      <c r="M426" s="16">
        <v>3130000</v>
      </c>
      <c r="N426" s="20">
        <v>41529</v>
      </c>
      <c r="O426" s="20">
        <v>41529</v>
      </c>
    </row>
    <row r="427" spans="1:15">
      <c r="A427" s="17">
        <v>2013</v>
      </c>
      <c r="B427" s="18" t="s">
        <v>481</v>
      </c>
      <c r="C427" s="18" t="s">
        <v>482</v>
      </c>
      <c r="D427" s="19">
        <v>3206092</v>
      </c>
      <c r="E427" s="19">
        <v>2</v>
      </c>
      <c r="F427" s="19"/>
      <c r="G427" s="19">
        <v>560</v>
      </c>
      <c r="H427" s="19">
        <v>10.1</v>
      </c>
      <c r="I427" s="19"/>
      <c r="J427" s="19" t="s">
        <v>112</v>
      </c>
      <c r="K427" s="19" t="b">
        <v>0</v>
      </c>
      <c r="L427" s="15">
        <v>2016</v>
      </c>
      <c r="M427" s="16">
        <v>400000</v>
      </c>
      <c r="N427" s="20">
        <v>41529</v>
      </c>
      <c r="O427" s="20">
        <v>41529</v>
      </c>
    </row>
    <row r="428" spans="1:15">
      <c r="A428" s="17">
        <v>2013</v>
      </c>
      <c r="B428" s="18" t="s">
        <v>481</v>
      </c>
      <c r="C428" s="18" t="s">
        <v>482</v>
      </c>
      <c r="D428" s="19">
        <v>3206092</v>
      </c>
      <c r="E428" s="19">
        <v>2</v>
      </c>
      <c r="F428" s="19"/>
      <c r="G428" s="19">
        <v>880</v>
      </c>
      <c r="H428" s="19">
        <v>14.1</v>
      </c>
      <c r="I428" s="19"/>
      <c r="J428" s="19" t="s">
        <v>154</v>
      </c>
      <c r="K428" s="19" t="b">
        <v>1</v>
      </c>
      <c r="L428" s="15">
        <v>2024</v>
      </c>
      <c r="M428" s="16">
        <v>1548000</v>
      </c>
      <c r="N428" s="20">
        <v>41529</v>
      </c>
      <c r="O428" s="20">
        <v>41529</v>
      </c>
    </row>
    <row r="429" spans="1:15">
      <c r="A429" s="17">
        <v>2013</v>
      </c>
      <c r="B429" s="18" t="s">
        <v>481</v>
      </c>
      <c r="C429" s="18" t="s">
        <v>482</v>
      </c>
      <c r="D429" s="19">
        <v>3206092</v>
      </c>
      <c r="E429" s="19">
        <v>2</v>
      </c>
      <c r="F429" s="19"/>
      <c r="G429" s="19">
        <v>90</v>
      </c>
      <c r="H429" s="19">
        <v>1.2</v>
      </c>
      <c r="I429" s="19"/>
      <c r="J429" s="19" t="s">
        <v>56</v>
      </c>
      <c r="K429" s="19" t="b">
        <v>1</v>
      </c>
      <c r="L429" s="15">
        <v>2025</v>
      </c>
      <c r="M429" s="16">
        <v>300000</v>
      </c>
      <c r="N429" s="20">
        <v>41529</v>
      </c>
      <c r="O429" s="20">
        <v>41529</v>
      </c>
    </row>
    <row r="430" spans="1:15">
      <c r="A430" s="17">
        <v>2013</v>
      </c>
      <c r="B430" s="18" t="s">
        <v>481</v>
      </c>
      <c r="C430" s="18" t="s">
        <v>482</v>
      </c>
      <c r="D430" s="19">
        <v>3206092</v>
      </c>
      <c r="E430" s="19">
        <v>2</v>
      </c>
      <c r="F430" s="19"/>
      <c r="G430" s="19">
        <v>50</v>
      </c>
      <c r="H430" s="19" t="s">
        <v>48</v>
      </c>
      <c r="I430" s="19"/>
      <c r="J430" s="19" t="s">
        <v>49</v>
      </c>
      <c r="K430" s="19" t="b">
        <v>1</v>
      </c>
      <c r="L430" s="15">
        <v>2023</v>
      </c>
      <c r="M430" s="16">
        <v>6380000</v>
      </c>
      <c r="N430" s="20">
        <v>41529</v>
      </c>
      <c r="O430" s="20">
        <v>41529</v>
      </c>
    </row>
    <row r="431" spans="1:15">
      <c r="A431" s="17">
        <v>2013</v>
      </c>
      <c r="B431" s="18" t="s">
        <v>481</v>
      </c>
      <c r="C431" s="18" t="s">
        <v>482</v>
      </c>
      <c r="D431" s="19">
        <v>3206092</v>
      </c>
      <c r="E431" s="19">
        <v>2</v>
      </c>
      <c r="F431" s="19"/>
      <c r="G431" s="19">
        <v>450</v>
      </c>
      <c r="H431" s="19">
        <v>9.1</v>
      </c>
      <c r="I431" s="19" t="s">
        <v>489</v>
      </c>
      <c r="J431" s="19" t="s">
        <v>98</v>
      </c>
      <c r="K431" s="19" t="b">
        <v>1</v>
      </c>
      <c r="L431" s="15">
        <v>2023</v>
      </c>
      <c r="M431" s="16">
        <v>8.2500000000000004E-2</v>
      </c>
      <c r="N431" s="20">
        <v>41529</v>
      </c>
      <c r="O431" s="20">
        <v>41529</v>
      </c>
    </row>
    <row r="432" spans="1:15">
      <c r="A432" s="17">
        <v>2013</v>
      </c>
      <c r="B432" s="18" t="s">
        <v>481</v>
      </c>
      <c r="C432" s="18" t="s">
        <v>482</v>
      </c>
      <c r="D432" s="19">
        <v>3206092</v>
      </c>
      <c r="E432" s="19">
        <v>2</v>
      </c>
      <c r="F432" s="19"/>
      <c r="G432" s="19">
        <v>200</v>
      </c>
      <c r="H432" s="19">
        <v>3</v>
      </c>
      <c r="I432" s="19" t="s">
        <v>492</v>
      </c>
      <c r="J432" s="19" t="s">
        <v>23</v>
      </c>
      <c r="K432" s="19" t="b">
        <v>0</v>
      </c>
      <c r="L432" s="15">
        <v>2018</v>
      </c>
      <c r="M432" s="16">
        <v>600000</v>
      </c>
      <c r="N432" s="20">
        <v>41529</v>
      </c>
      <c r="O432" s="20">
        <v>41529</v>
      </c>
    </row>
    <row r="433" spans="1:15">
      <c r="A433" s="17">
        <v>2013</v>
      </c>
      <c r="B433" s="18" t="s">
        <v>481</v>
      </c>
      <c r="C433" s="18" t="s">
        <v>482</v>
      </c>
      <c r="D433" s="19">
        <v>3206092</v>
      </c>
      <c r="E433" s="19">
        <v>2</v>
      </c>
      <c r="F433" s="19"/>
      <c r="G433" s="19">
        <v>390</v>
      </c>
      <c r="H433" s="19">
        <v>6.3</v>
      </c>
      <c r="I433" s="19" t="s">
        <v>498</v>
      </c>
      <c r="J433" s="19" t="s">
        <v>94</v>
      </c>
      <c r="K433" s="19" t="b">
        <v>0</v>
      </c>
      <c r="L433" s="15">
        <v>2016</v>
      </c>
      <c r="M433" s="16">
        <v>0.55900000000000005</v>
      </c>
      <c r="N433" s="20">
        <v>41529</v>
      </c>
      <c r="O433" s="20">
        <v>41529</v>
      </c>
    </row>
    <row r="434" spans="1:15">
      <c r="A434" s="17">
        <v>2013</v>
      </c>
      <c r="B434" s="18" t="s">
        <v>481</v>
      </c>
      <c r="C434" s="18" t="s">
        <v>482</v>
      </c>
      <c r="D434" s="19">
        <v>3206092</v>
      </c>
      <c r="E434" s="19">
        <v>2</v>
      </c>
      <c r="F434" s="19"/>
      <c r="G434" s="19">
        <v>10</v>
      </c>
      <c r="H434" s="19">
        <v>1</v>
      </c>
      <c r="I434" s="19" t="s">
        <v>491</v>
      </c>
      <c r="J434" s="19" t="s">
        <v>26</v>
      </c>
      <c r="K434" s="19" t="b">
        <v>1</v>
      </c>
      <c r="L434" s="15">
        <v>2024</v>
      </c>
      <c r="M434" s="16">
        <v>21130704</v>
      </c>
      <c r="N434" s="20">
        <v>41529</v>
      </c>
      <c r="O434" s="20">
        <v>41529</v>
      </c>
    </row>
    <row r="435" spans="1:15">
      <c r="A435" s="17">
        <v>2013</v>
      </c>
      <c r="B435" s="18" t="s">
        <v>481</v>
      </c>
      <c r="C435" s="18" t="s">
        <v>482</v>
      </c>
      <c r="D435" s="19">
        <v>3206092</v>
      </c>
      <c r="E435" s="19">
        <v>2</v>
      </c>
      <c r="F435" s="19"/>
      <c r="G435" s="19">
        <v>200</v>
      </c>
      <c r="H435" s="19">
        <v>3</v>
      </c>
      <c r="I435" s="19" t="s">
        <v>492</v>
      </c>
      <c r="J435" s="19" t="s">
        <v>23</v>
      </c>
      <c r="K435" s="19" t="b">
        <v>0</v>
      </c>
      <c r="L435" s="15">
        <v>2015</v>
      </c>
      <c r="M435" s="16">
        <v>100000</v>
      </c>
      <c r="N435" s="20">
        <v>41529</v>
      </c>
      <c r="O435" s="20">
        <v>41529</v>
      </c>
    </row>
    <row r="436" spans="1:15">
      <c r="A436" s="17">
        <v>2013</v>
      </c>
      <c r="B436" s="18" t="s">
        <v>481</v>
      </c>
      <c r="C436" s="18" t="s">
        <v>482</v>
      </c>
      <c r="D436" s="19">
        <v>3206092</v>
      </c>
      <c r="E436" s="19">
        <v>2</v>
      </c>
      <c r="F436" s="19"/>
      <c r="G436" s="19">
        <v>30</v>
      </c>
      <c r="H436" s="19" t="s">
        <v>44</v>
      </c>
      <c r="I436" s="19"/>
      <c r="J436" s="19" t="s">
        <v>45</v>
      </c>
      <c r="K436" s="19" t="b">
        <v>1</v>
      </c>
      <c r="L436" s="15">
        <v>2025</v>
      </c>
      <c r="M436" s="16">
        <v>1995000</v>
      </c>
      <c r="N436" s="20">
        <v>41529</v>
      </c>
      <c r="O436" s="20">
        <v>41529</v>
      </c>
    </row>
    <row r="437" spans="1:15">
      <c r="A437" s="17">
        <v>2013</v>
      </c>
      <c r="B437" s="18" t="s">
        <v>481</v>
      </c>
      <c r="C437" s="18" t="s">
        <v>482</v>
      </c>
      <c r="D437" s="19">
        <v>3206092</v>
      </c>
      <c r="E437" s="19">
        <v>2</v>
      </c>
      <c r="F437" s="19"/>
      <c r="G437" s="19">
        <v>310</v>
      </c>
      <c r="H437" s="19">
        <v>5.0999999999999996</v>
      </c>
      <c r="I437" s="19"/>
      <c r="J437" s="19" t="s">
        <v>84</v>
      </c>
      <c r="K437" s="19" t="b">
        <v>1</v>
      </c>
      <c r="L437" s="15">
        <v>2024</v>
      </c>
      <c r="M437" s="16">
        <v>1548000</v>
      </c>
      <c r="N437" s="20">
        <v>41529</v>
      </c>
      <c r="O437" s="20">
        <v>41529</v>
      </c>
    </row>
    <row r="438" spans="1:15">
      <c r="A438" s="17">
        <v>2013</v>
      </c>
      <c r="B438" s="18" t="s">
        <v>481</v>
      </c>
      <c r="C438" s="18" t="s">
        <v>482</v>
      </c>
      <c r="D438" s="19">
        <v>3206092</v>
      </c>
      <c r="E438" s="19">
        <v>2</v>
      </c>
      <c r="F438" s="19"/>
      <c r="G438" s="19">
        <v>580</v>
      </c>
      <c r="H438" s="19">
        <v>11.1</v>
      </c>
      <c r="I438" s="19"/>
      <c r="J438" s="19" t="s">
        <v>114</v>
      </c>
      <c r="K438" s="19" t="b">
        <v>0</v>
      </c>
      <c r="L438" s="15">
        <v>2019</v>
      </c>
      <c r="M438" s="16">
        <v>7835311</v>
      </c>
      <c r="N438" s="20">
        <v>41529</v>
      </c>
      <c r="O438" s="20">
        <v>41529</v>
      </c>
    </row>
    <row r="439" spans="1:15">
      <c r="A439" s="17">
        <v>2013</v>
      </c>
      <c r="B439" s="18" t="s">
        <v>481</v>
      </c>
      <c r="C439" s="18" t="s">
        <v>482</v>
      </c>
      <c r="D439" s="19">
        <v>3206092</v>
      </c>
      <c r="E439" s="19">
        <v>2</v>
      </c>
      <c r="F439" s="19"/>
      <c r="G439" s="19">
        <v>80</v>
      </c>
      <c r="H439" s="19" t="s">
        <v>54</v>
      </c>
      <c r="I439" s="19"/>
      <c r="J439" s="19" t="s">
        <v>55</v>
      </c>
      <c r="K439" s="19" t="b">
        <v>1</v>
      </c>
      <c r="L439" s="15">
        <v>2020</v>
      </c>
      <c r="M439" s="16">
        <v>3900000</v>
      </c>
      <c r="N439" s="20">
        <v>41529</v>
      </c>
      <c r="O439" s="20">
        <v>41529</v>
      </c>
    </row>
    <row r="440" spans="1:15">
      <c r="A440" s="17">
        <v>2013</v>
      </c>
      <c r="B440" s="18" t="s">
        <v>481</v>
      </c>
      <c r="C440" s="18" t="s">
        <v>482</v>
      </c>
      <c r="D440" s="19">
        <v>3206092</v>
      </c>
      <c r="E440" s="19">
        <v>2</v>
      </c>
      <c r="F440" s="19"/>
      <c r="G440" s="19">
        <v>50</v>
      </c>
      <c r="H440" s="19" t="s">
        <v>48</v>
      </c>
      <c r="I440" s="19"/>
      <c r="J440" s="19" t="s">
        <v>49</v>
      </c>
      <c r="K440" s="19" t="b">
        <v>1</v>
      </c>
      <c r="L440" s="15">
        <v>2021</v>
      </c>
      <c r="M440" s="16">
        <v>5946000</v>
      </c>
      <c r="N440" s="20">
        <v>41529</v>
      </c>
      <c r="O440" s="20">
        <v>41529</v>
      </c>
    </row>
    <row r="441" spans="1:15">
      <c r="A441" s="17">
        <v>2013</v>
      </c>
      <c r="B441" s="18" t="s">
        <v>481</v>
      </c>
      <c r="C441" s="18" t="s">
        <v>482</v>
      </c>
      <c r="D441" s="19">
        <v>3206092</v>
      </c>
      <c r="E441" s="19">
        <v>2</v>
      </c>
      <c r="F441" s="19"/>
      <c r="G441" s="19">
        <v>520</v>
      </c>
      <c r="H441" s="19" t="s">
        <v>106</v>
      </c>
      <c r="I441" s="19"/>
      <c r="J441" s="19" t="s">
        <v>493</v>
      </c>
      <c r="K441" s="19" t="b">
        <v>1</v>
      </c>
      <c r="L441" s="15">
        <v>2019</v>
      </c>
      <c r="M441" s="16">
        <v>9.3200000000000005E-2</v>
      </c>
      <c r="N441" s="20">
        <v>41529</v>
      </c>
      <c r="O441" s="20">
        <v>41529</v>
      </c>
    </row>
    <row r="442" spans="1:15">
      <c r="A442" s="17">
        <v>2013</v>
      </c>
      <c r="B442" s="18" t="s">
        <v>481</v>
      </c>
      <c r="C442" s="18" t="s">
        <v>482</v>
      </c>
      <c r="D442" s="19">
        <v>3206092</v>
      </c>
      <c r="E442" s="19">
        <v>2</v>
      </c>
      <c r="F442" s="19"/>
      <c r="G442" s="19">
        <v>60</v>
      </c>
      <c r="H442" s="19" t="s">
        <v>50</v>
      </c>
      <c r="I442" s="19"/>
      <c r="J442" s="19" t="s">
        <v>51</v>
      </c>
      <c r="K442" s="19" t="b">
        <v>1</v>
      </c>
      <c r="L442" s="15">
        <v>2025</v>
      </c>
      <c r="M442" s="16">
        <v>3952000</v>
      </c>
      <c r="N442" s="20">
        <v>41529</v>
      </c>
      <c r="O442" s="20">
        <v>41529</v>
      </c>
    </row>
    <row r="443" spans="1:15">
      <c r="A443" s="17">
        <v>2013</v>
      </c>
      <c r="B443" s="18" t="s">
        <v>481</v>
      </c>
      <c r="C443" s="18" t="s">
        <v>482</v>
      </c>
      <c r="D443" s="19">
        <v>3206092</v>
      </c>
      <c r="E443" s="19">
        <v>2</v>
      </c>
      <c r="F443" s="19"/>
      <c r="G443" s="19">
        <v>520</v>
      </c>
      <c r="H443" s="19" t="s">
        <v>106</v>
      </c>
      <c r="I443" s="19"/>
      <c r="J443" s="19" t="s">
        <v>493</v>
      </c>
      <c r="K443" s="19" t="b">
        <v>1</v>
      </c>
      <c r="L443" s="15">
        <v>2016</v>
      </c>
      <c r="M443" s="16">
        <v>5.9799999999999999E-2</v>
      </c>
      <c r="N443" s="20">
        <v>41529</v>
      </c>
      <c r="O443" s="20">
        <v>41529</v>
      </c>
    </row>
    <row r="444" spans="1:15">
      <c r="A444" s="17">
        <v>2013</v>
      </c>
      <c r="B444" s="18" t="s">
        <v>481</v>
      </c>
      <c r="C444" s="18" t="s">
        <v>482</v>
      </c>
      <c r="D444" s="19">
        <v>3206092</v>
      </c>
      <c r="E444" s="19">
        <v>2</v>
      </c>
      <c r="F444" s="19"/>
      <c r="G444" s="19">
        <v>200</v>
      </c>
      <c r="H444" s="19">
        <v>3</v>
      </c>
      <c r="I444" s="19" t="s">
        <v>492</v>
      </c>
      <c r="J444" s="19" t="s">
        <v>23</v>
      </c>
      <c r="K444" s="19" t="b">
        <v>0</v>
      </c>
      <c r="L444" s="15">
        <v>2021</v>
      </c>
      <c r="M444" s="16">
        <v>1200000</v>
      </c>
      <c r="N444" s="20">
        <v>41529</v>
      </c>
      <c r="O444" s="20">
        <v>41529</v>
      </c>
    </row>
    <row r="445" spans="1:15">
      <c r="A445" s="17">
        <v>2013</v>
      </c>
      <c r="B445" s="18" t="s">
        <v>481</v>
      </c>
      <c r="C445" s="18" t="s">
        <v>482</v>
      </c>
      <c r="D445" s="19">
        <v>3206092</v>
      </c>
      <c r="E445" s="19">
        <v>2</v>
      </c>
      <c r="F445" s="19"/>
      <c r="G445" s="19">
        <v>30</v>
      </c>
      <c r="H445" s="19" t="s">
        <v>44</v>
      </c>
      <c r="I445" s="19"/>
      <c r="J445" s="19" t="s">
        <v>45</v>
      </c>
      <c r="K445" s="19" t="b">
        <v>1</v>
      </c>
      <c r="L445" s="15">
        <v>2022</v>
      </c>
      <c r="M445" s="16">
        <v>1826000</v>
      </c>
      <c r="N445" s="20">
        <v>41529</v>
      </c>
      <c r="O445" s="20">
        <v>41529</v>
      </c>
    </row>
    <row r="446" spans="1:15">
      <c r="A446" s="17">
        <v>2013</v>
      </c>
      <c r="B446" s="18" t="s">
        <v>481</v>
      </c>
      <c r="C446" s="18" t="s">
        <v>482</v>
      </c>
      <c r="D446" s="19">
        <v>3206092</v>
      </c>
      <c r="E446" s="19">
        <v>2</v>
      </c>
      <c r="F446" s="19"/>
      <c r="G446" s="19">
        <v>505</v>
      </c>
      <c r="H446" s="19" t="s">
        <v>103</v>
      </c>
      <c r="I446" s="19" t="s">
        <v>485</v>
      </c>
      <c r="J446" s="19" t="s">
        <v>104</v>
      </c>
      <c r="K446" s="19" t="b">
        <v>0</v>
      </c>
      <c r="L446" s="15">
        <v>2024</v>
      </c>
      <c r="M446" s="16">
        <v>0.13550000000000001</v>
      </c>
      <c r="N446" s="20">
        <v>41529</v>
      </c>
      <c r="O446" s="20">
        <v>41529</v>
      </c>
    </row>
    <row r="447" spans="1:15">
      <c r="A447" s="17">
        <v>2013</v>
      </c>
      <c r="B447" s="18" t="s">
        <v>481</v>
      </c>
      <c r="C447" s="18" t="s">
        <v>482</v>
      </c>
      <c r="D447" s="19">
        <v>3206092</v>
      </c>
      <c r="E447" s="19">
        <v>2</v>
      </c>
      <c r="F447" s="19"/>
      <c r="G447" s="19">
        <v>460</v>
      </c>
      <c r="H447" s="19">
        <v>9.1999999999999993</v>
      </c>
      <c r="I447" s="19" t="s">
        <v>487</v>
      </c>
      <c r="J447" s="19" t="s">
        <v>99</v>
      </c>
      <c r="K447" s="19" t="b">
        <v>0</v>
      </c>
      <c r="L447" s="15">
        <v>2014</v>
      </c>
      <c r="M447" s="16">
        <v>2.7199999999999998E-2</v>
      </c>
      <c r="N447" s="20">
        <v>41529</v>
      </c>
      <c r="O447" s="20">
        <v>41529</v>
      </c>
    </row>
    <row r="448" spans="1:15">
      <c r="A448" s="17">
        <v>2013</v>
      </c>
      <c r="B448" s="18" t="s">
        <v>481</v>
      </c>
      <c r="C448" s="18" t="s">
        <v>482</v>
      </c>
      <c r="D448" s="19">
        <v>3206092</v>
      </c>
      <c r="E448" s="19">
        <v>2</v>
      </c>
      <c r="F448" s="19"/>
      <c r="G448" s="19">
        <v>540</v>
      </c>
      <c r="H448" s="19" t="s">
        <v>109</v>
      </c>
      <c r="I448" s="19" t="s">
        <v>499</v>
      </c>
      <c r="J448" s="19" t="s">
        <v>110</v>
      </c>
      <c r="K448" s="19" t="b">
        <v>0</v>
      </c>
      <c r="L448" s="15">
        <v>2017</v>
      </c>
      <c r="M448" s="16">
        <v>50</v>
      </c>
      <c r="N448" s="20">
        <v>41529</v>
      </c>
      <c r="O448" s="20">
        <v>41529</v>
      </c>
    </row>
    <row r="449" spans="1:15">
      <c r="A449" s="17">
        <v>2013</v>
      </c>
      <c r="B449" s="18" t="s">
        <v>481</v>
      </c>
      <c r="C449" s="18" t="s">
        <v>482</v>
      </c>
      <c r="D449" s="19">
        <v>3206092</v>
      </c>
      <c r="E449" s="19">
        <v>2</v>
      </c>
      <c r="F449" s="19"/>
      <c r="G449" s="19">
        <v>480</v>
      </c>
      <c r="H449" s="19">
        <v>9.4</v>
      </c>
      <c r="I449" s="19" t="s">
        <v>487</v>
      </c>
      <c r="J449" s="19" t="s">
        <v>100</v>
      </c>
      <c r="K449" s="19" t="b">
        <v>0</v>
      </c>
      <c r="L449" s="15">
        <v>2014</v>
      </c>
      <c r="M449" s="16">
        <v>2.7199999999999998E-2</v>
      </c>
      <c r="N449" s="20">
        <v>41529</v>
      </c>
      <c r="O449" s="20">
        <v>41529</v>
      </c>
    </row>
    <row r="450" spans="1:15">
      <c r="A450" s="17">
        <v>2013</v>
      </c>
      <c r="B450" s="18" t="s">
        <v>481</v>
      </c>
      <c r="C450" s="18" t="s">
        <v>482</v>
      </c>
      <c r="D450" s="19">
        <v>3206092</v>
      </c>
      <c r="E450" s="19">
        <v>2</v>
      </c>
      <c r="F450" s="19"/>
      <c r="G450" s="19">
        <v>80</v>
      </c>
      <c r="H450" s="19" t="s">
        <v>54</v>
      </c>
      <c r="I450" s="19"/>
      <c r="J450" s="19" t="s">
        <v>55</v>
      </c>
      <c r="K450" s="19" t="b">
        <v>1</v>
      </c>
      <c r="L450" s="15">
        <v>2025</v>
      </c>
      <c r="M450" s="16">
        <v>4600000</v>
      </c>
      <c r="N450" s="20">
        <v>41529</v>
      </c>
      <c r="O450" s="20">
        <v>41529</v>
      </c>
    </row>
    <row r="451" spans="1:15">
      <c r="A451" s="17">
        <v>2013</v>
      </c>
      <c r="B451" s="18" t="s">
        <v>481</v>
      </c>
      <c r="C451" s="18" t="s">
        <v>482</v>
      </c>
      <c r="D451" s="19">
        <v>3206092</v>
      </c>
      <c r="E451" s="19">
        <v>2</v>
      </c>
      <c r="F451" s="19"/>
      <c r="G451" s="19">
        <v>540</v>
      </c>
      <c r="H451" s="19" t="s">
        <v>109</v>
      </c>
      <c r="I451" s="19" t="s">
        <v>499</v>
      </c>
      <c r="J451" s="19" t="s">
        <v>110</v>
      </c>
      <c r="K451" s="19" t="b">
        <v>0</v>
      </c>
      <c r="L451" s="15">
        <v>2025</v>
      </c>
      <c r="M451" s="16">
        <v>959</v>
      </c>
      <c r="N451" s="20">
        <v>41529</v>
      </c>
      <c r="O451" s="20">
        <v>41529</v>
      </c>
    </row>
    <row r="452" spans="1:15">
      <c r="A452" s="17">
        <v>2013</v>
      </c>
      <c r="B452" s="18" t="s">
        <v>481</v>
      </c>
      <c r="C452" s="18" t="s">
        <v>482</v>
      </c>
      <c r="D452" s="19">
        <v>3206092</v>
      </c>
      <c r="E452" s="19">
        <v>2</v>
      </c>
      <c r="F452" s="19"/>
      <c r="G452" s="19">
        <v>110</v>
      </c>
      <c r="H452" s="19" t="s">
        <v>59</v>
      </c>
      <c r="I452" s="19"/>
      <c r="J452" s="19" t="s">
        <v>60</v>
      </c>
      <c r="K452" s="19" t="b">
        <v>1</v>
      </c>
      <c r="L452" s="15">
        <v>2013</v>
      </c>
      <c r="M452" s="16">
        <v>978221.25</v>
      </c>
      <c r="N452" s="20">
        <v>41529</v>
      </c>
      <c r="O452" s="20">
        <v>41529</v>
      </c>
    </row>
    <row r="453" spans="1:15">
      <c r="A453" s="17">
        <v>2013</v>
      </c>
      <c r="B453" s="18" t="s">
        <v>481</v>
      </c>
      <c r="C453" s="18" t="s">
        <v>482</v>
      </c>
      <c r="D453" s="19">
        <v>3206092</v>
      </c>
      <c r="E453" s="19">
        <v>2</v>
      </c>
      <c r="F453" s="19"/>
      <c r="G453" s="19">
        <v>750</v>
      </c>
      <c r="H453" s="19" t="s">
        <v>138</v>
      </c>
      <c r="I453" s="19"/>
      <c r="J453" s="19" t="s">
        <v>139</v>
      </c>
      <c r="K453" s="19" t="b">
        <v>0</v>
      </c>
      <c r="L453" s="15">
        <v>2014</v>
      </c>
      <c r="M453" s="16">
        <v>23010</v>
      </c>
      <c r="N453" s="20">
        <v>41529</v>
      </c>
      <c r="O453" s="20">
        <v>41529</v>
      </c>
    </row>
    <row r="454" spans="1:15">
      <c r="A454" s="17">
        <v>2013</v>
      </c>
      <c r="B454" s="18" t="s">
        <v>481</v>
      </c>
      <c r="C454" s="18" t="s">
        <v>482</v>
      </c>
      <c r="D454" s="19">
        <v>3206092</v>
      </c>
      <c r="E454" s="19">
        <v>2</v>
      </c>
      <c r="F454" s="19"/>
      <c r="G454" s="19">
        <v>90</v>
      </c>
      <c r="H454" s="19">
        <v>1.2</v>
      </c>
      <c r="I454" s="19"/>
      <c r="J454" s="19" t="s">
        <v>56</v>
      </c>
      <c r="K454" s="19" t="b">
        <v>1</v>
      </c>
      <c r="L454" s="15">
        <v>2013</v>
      </c>
      <c r="M454" s="16">
        <v>2606760.25</v>
      </c>
      <c r="N454" s="20">
        <v>41529</v>
      </c>
      <c r="O454" s="20">
        <v>41529</v>
      </c>
    </row>
    <row r="455" spans="1:15">
      <c r="A455" s="17">
        <v>2013</v>
      </c>
      <c r="B455" s="18" t="s">
        <v>481</v>
      </c>
      <c r="C455" s="18" t="s">
        <v>482</v>
      </c>
      <c r="D455" s="19">
        <v>3206092</v>
      </c>
      <c r="E455" s="19">
        <v>2</v>
      </c>
      <c r="F455" s="19"/>
      <c r="G455" s="19">
        <v>380</v>
      </c>
      <c r="H455" s="19">
        <v>6.2</v>
      </c>
      <c r="I455" s="19" t="s">
        <v>495</v>
      </c>
      <c r="J455" s="19" t="s">
        <v>93</v>
      </c>
      <c r="K455" s="19" t="b">
        <v>0</v>
      </c>
      <c r="L455" s="15">
        <v>2017</v>
      </c>
      <c r="M455" s="16">
        <v>0.5171</v>
      </c>
      <c r="N455" s="20">
        <v>41529</v>
      </c>
      <c r="O455" s="20">
        <v>41529</v>
      </c>
    </row>
    <row r="456" spans="1:15">
      <c r="A456" s="17">
        <v>2013</v>
      </c>
      <c r="B456" s="18" t="s">
        <v>481</v>
      </c>
      <c r="C456" s="18" t="s">
        <v>482</v>
      </c>
      <c r="D456" s="19">
        <v>3206092</v>
      </c>
      <c r="E456" s="19">
        <v>2</v>
      </c>
      <c r="F456" s="19"/>
      <c r="G456" s="19">
        <v>520</v>
      </c>
      <c r="H456" s="19" t="s">
        <v>106</v>
      </c>
      <c r="I456" s="19"/>
      <c r="J456" s="19" t="s">
        <v>493</v>
      </c>
      <c r="K456" s="19" t="b">
        <v>1</v>
      </c>
      <c r="L456" s="15">
        <v>2022</v>
      </c>
      <c r="M456" s="16">
        <v>9.9000000000000005E-2</v>
      </c>
      <c r="N456" s="20">
        <v>41529</v>
      </c>
      <c r="O456" s="20">
        <v>41529</v>
      </c>
    </row>
    <row r="457" spans="1:15">
      <c r="A457" s="17">
        <v>2013</v>
      </c>
      <c r="B457" s="18" t="s">
        <v>481</v>
      </c>
      <c r="C457" s="18" t="s">
        <v>482</v>
      </c>
      <c r="D457" s="19">
        <v>3206092</v>
      </c>
      <c r="E457" s="19">
        <v>2</v>
      </c>
      <c r="F457" s="19"/>
      <c r="G457" s="19">
        <v>770</v>
      </c>
      <c r="H457" s="19" t="s">
        <v>141</v>
      </c>
      <c r="I457" s="19"/>
      <c r="J457" s="19" t="s">
        <v>142</v>
      </c>
      <c r="K457" s="19" t="b">
        <v>1</v>
      </c>
      <c r="L457" s="15">
        <v>2014</v>
      </c>
      <c r="M457" s="16">
        <v>1389181</v>
      </c>
      <c r="N457" s="20">
        <v>41529</v>
      </c>
      <c r="O457" s="20">
        <v>41529</v>
      </c>
    </row>
    <row r="458" spans="1:15">
      <c r="A458" s="17">
        <v>2013</v>
      </c>
      <c r="B458" s="18" t="s">
        <v>481</v>
      </c>
      <c r="C458" s="18" t="s">
        <v>482</v>
      </c>
      <c r="D458" s="19">
        <v>3206092</v>
      </c>
      <c r="E458" s="19">
        <v>2</v>
      </c>
      <c r="F458" s="19"/>
      <c r="G458" s="19">
        <v>920</v>
      </c>
      <c r="H458" s="19" t="s">
        <v>159</v>
      </c>
      <c r="I458" s="19"/>
      <c r="J458" s="19" t="s">
        <v>160</v>
      </c>
      <c r="K458" s="19" t="b">
        <v>1</v>
      </c>
      <c r="L458" s="15">
        <v>2013</v>
      </c>
      <c r="M458" s="16">
        <v>9850</v>
      </c>
      <c r="N458" s="20">
        <v>41529</v>
      </c>
      <c r="O458" s="20">
        <v>41529</v>
      </c>
    </row>
    <row r="459" spans="1:15">
      <c r="A459" s="17">
        <v>2013</v>
      </c>
      <c r="B459" s="18" t="s">
        <v>481</v>
      </c>
      <c r="C459" s="18" t="s">
        <v>482</v>
      </c>
      <c r="D459" s="19">
        <v>3206092</v>
      </c>
      <c r="E459" s="19">
        <v>2</v>
      </c>
      <c r="F459" s="19"/>
      <c r="G459" s="19">
        <v>450</v>
      </c>
      <c r="H459" s="19">
        <v>9.1</v>
      </c>
      <c r="I459" s="19" t="s">
        <v>489</v>
      </c>
      <c r="J459" s="19" t="s">
        <v>98</v>
      </c>
      <c r="K459" s="19" t="b">
        <v>1</v>
      </c>
      <c r="L459" s="15">
        <v>2015</v>
      </c>
      <c r="M459" s="16">
        <v>4.2299999999999997E-2</v>
      </c>
      <c r="N459" s="20">
        <v>41529</v>
      </c>
      <c r="O459" s="20">
        <v>41529</v>
      </c>
    </row>
    <row r="460" spans="1:15">
      <c r="A460" s="17">
        <v>2013</v>
      </c>
      <c r="B460" s="18" t="s">
        <v>481</v>
      </c>
      <c r="C460" s="18" t="s">
        <v>482</v>
      </c>
      <c r="D460" s="19">
        <v>3206092</v>
      </c>
      <c r="E460" s="19">
        <v>2</v>
      </c>
      <c r="F460" s="19"/>
      <c r="G460" s="19">
        <v>120</v>
      </c>
      <c r="H460" s="19">
        <v>2</v>
      </c>
      <c r="I460" s="19" t="s">
        <v>496</v>
      </c>
      <c r="J460" s="19" t="s">
        <v>21</v>
      </c>
      <c r="K460" s="19" t="b">
        <v>0</v>
      </c>
      <c r="L460" s="15">
        <v>2022</v>
      </c>
      <c r="M460" s="16">
        <v>18604936</v>
      </c>
      <c r="N460" s="20">
        <v>41529</v>
      </c>
      <c r="O460" s="20">
        <v>41529</v>
      </c>
    </row>
    <row r="461" spans="1:15">
      <c r="A461" s="17">
        <v>2013</v>
      </c>
      <c r="B461" s="18" t="s">
        <v>481</v>
      </c>
      <c r="C461" s="18" t="s">
        <v>482</v>
      </c>
      <c r="D461" s="19">
        <v>3206092</v>
      </c>
      <c r="E461" s="19">
        <v>2</v>
      </c>
      <c r="F461" s="19"/>
      <c r="G461" s="19">
        <v>350</v>
      </c>
      <c r="H461" s="19">
        <v>6</v>
      </c>
      <c r="I461" s="19"/>
      <c r="J461" s="19" t="s">
        <v>27</v>
      </c>
      <c r="K461" s="19" t="b">
        <v>1</v>
      </c>
      <c r="L461" s="15">
        <v>2023</v>
      </c>
      <c r="M461" s="16">
        <v>2291000</v>
      </c>
      <c r="N461" s="20">
        <v>41529</v>
      </c>
      <c r="O461" s="20">
        <v>41529</v>
      </c>
    </row>
    <row r="462" spans="1:15">
      <c r="A462" s="17">
        <v>2013</v>
      </c>
      <c r="B462" s="18" t="s">
        <v>481</v>
      </c>
      <c r="C462" s="18" t="s">
        <v>482</v>
      </c>
      <c r="D462" s="19">
        <v>3206092</v>
      </c>
      <c r="E462" s="19">
        <v>2</v>
      </c>
      <c r="F462" s="19"/>
      <c r="G462" s="19">
        <v>40</v>
      </c>
      <c r="H462" s="19" t="s">
        <v>46</v>
      </c>
      <c r="I462" s="19"/>
      <c r="J462" s="19" t="s">
        <v>47</v>
      </c>
      <c r="K462" s="19" t="b">
        <v>1</v>
      </c>
      <c r="L462" s="15">
        <v>2020</v>
      </c>
      <c r="M462" s="16">
        <v>11000</v>
      </c>
      <c r="N462" s="20">
        <v>41529</v>
      </c>
      <c r="O462" s="20">
        <v>41529</v>
      </c>
    </row>
    <row r="463" spans="1:15">
      <c r="A463" s="17">
        <v>2013</v>
      </c>
      <c r="B463" s="18" t="s">
        <v>481</v>
      </c>
      <c r="C463" s="18" t="s">
        <v>482</v>
      </c>
      <c r="D463" s="19">
        <v>3206092</v>
      </c>
      <c r="E463" s="19">
        <v>2</v>
      </c>
      <c r="F463" s="19"/>
      <c r="G463" s="19">
        <v>460</v>
      </c>
      <c r="H463" s="19">
        <v>9.1999999999999993</v>
      </c>
      <c r="I463" s="19" t="s">
        <v>487</v>
      </c>
      <c r="J463" s="19" t="s">
        <v>99</v>
      </c>
      <c r="K463" s="19" t="b">
        <v>0</v>
      </c>
      <c r="L463" s="15">
        <v>2016</v>
      </c>
      <c r="M463" s="16">
        <v>5.57E-2</v>
      </c>
      <c r="N463" s="20">
        <v>41529</v>
      </c>
      <c r="O463" s="20">
        <v>41529</v>
      </c>
    </row>
    <row r="464" spans="1:15">
      <c r="A464" s="17">
        <v>2013</v>
      </c>
      <c r="B464" s="18" t="s">
        <v>481</v>
      </c>
      <c r="C464" s="18" t="s">
        <v>482</v>
      </c>
      <c r="D464" s="19">
        <v>3206092</v>
      </c>
      <c r="E464" s="19">
        <v>2</v>
      </c>
      <c r="F464" s="19"/>
      <c r="G464" s="19">
        <v>580</v>
      </c>
      <c r="H464" s="19">
        <v>11.1</v>
      </c>
      <c r="I464" s="19"/>
      <c r="J464" s="19" t="s">
        <v>114</v>
      </c>
      <c r="K464" s="19" t="b">
        <v>0</v>
      </c>
      <c r="L464" s="15">
        <v>2016</v>
      </c>
      <c r="M464" s="16">
        <v>7170420</v>
      </c>
      <c r="N464" s="20">
        <v>41529</v>
      </c>
      <c r="O464" s="20">
        <v>41529</v>
      </c>
    </row>
    <row r="465" spans="1:15">
      <c r="A465" s="17">
        <v>2013</v>
      </c>
      <c r="B465" s="18" t="s">
        <v>481</v>
      </c>
      <c r="C465" s="18" t="s">
        <v>482</v>
      </c>
      <c r="D465" s="19">
        <v>3206092</v>
      </c>
      <c r="E465" s="19">
        <v>2</v>
      </c>
      <c r="F465" s="19"/>
      <c r="G465" s="19">
        <v>540</v>
      </c>
      <c r="H465" s="19" t="s">
        <v>109</v>
      </c>
      <c r="I465" s="19" t="s">
        <v>499</v>
      </c>
      <c r="J465" s="19" t="s">
        <v>110</v>
      </c>
      <c r="K465" s="19" t="b">
        <v>0</v>
      </c>
      <c r="L465" s="15">
        <v>2024</v>
      </c>
      <c r="M465" s="16">
        <v>499</v>
      </c>
      <c r="N465" s="20">
        <v>41529</v>
      </c>
      <c r="O465" s="20">
        <v>41529</v>
      </c>
    </row>
    <row r="466" spans="1:15">
      <c r="A466" s="17">
        <v>2013</v>
      </c>
      <c r="B466" s="18" t="s">
        <v>481</v>
      </c>
      <c r="C466" s="18" t="s">
        <v>482</v>
      </c>
      <c r="D466" s="19">
        <v>3206092</v>
      </c>
      <c r="E466" s="19">
        <v>2</v>
      </c>
      <c r="F466" s="19"/>
      <c r="G466" s="19">
        <v>100</v>
      </c>
      <c r="H466" s="19" t="s">
        <v>57</v>
      </c>
      <c r="I466" s="19"/>
      <c r="J466" s="19" t="s">
        <v>58</v>
      </c>
      <c r="K466" s="19" t="b">
        <v>1</v>
      </c>
      <c r="L466" s="15">
        <v>2025</v>
      </c>
      <c r="M466" s="16">
        <v>300000</v>
      </c>
      <c r="N466" s="20">
        <v>41529</v>
      </c>
      <c r="O466" s="20">
        <v>41529</v>
      </c>
    </row>
    <row r="467" spans="1:15">
      <c r="A467" s="17">
        <v>2013</v>
      </c>
      <c r="B467" s="18" t="s">
        <v>481</v>
      </c>
      <c r="C467" s="18" t="s">
        <v>482</v>
      </c>
      <c r="D467" s="19">
        <v>3206092</v>
      </c>
      <c r="E467" s="19">
        <v>2</v>
      </c>
      <c r="F467" s="19"/>
      <c r="G467" s="19">
        <v>420</v>
      </c>
      <c r="H467" s="19">
        <v>8.1</v>
      </c>
      <c r="I467" s="19" t="s">
        <v>494</v>
      </c>
      <c r="J467" s="19" t="s">
        <v>96</v>
      </c>
      <c r="K467" s="19" t="b">
        <v>0</v>
      </c>
      <c r="L467" s="15">
        <v>2015</v>
      </c>
      <c r="M467" s="16">
        <v>1026327</v>
      </c>
      <c r="N467" s="20">
        <v>41529</v>
      </c>
      <c r="O467" s="20">
        <v>41529</v>
      </c>
    </row>
    <row r="468" spans="1:15">
      <c r="A468" s="17">
        <v>2013</v>
      </c>
      <c r="B468" s="18" t="s">
        <v>481</v>
      </c>
      <c r="C468" s="18" t="s">
        <v>482</v>
      </c>
      <c r="D468" s="19">
        <v>3206092</v>
      </c>
      <c r="E468" s="19">
        <v>2</v>
      </c>
      <c r="F468" s="19"/>
      <c r="G468" s="19">
        <v>180</v>
      </c>
      <c r="H468" s="19" t="s">
        <v>70</v>
      </c>
      <c r="I468" s="19"/>
      <c r="J468" s="19" t="s">
        <v>71</v>
      </c>
      <c r="K468" s="19" t="b">
        <v>0</v>
      </c>
      <c r="L468" s="15">
        <v>2014</v>
      </c>
      <c r="M468" s="16">
        <v>550000</v>
      </c>
      <c r="N468" s="20">
        <v>41529</v>
      </c>
      <c r="O468" s="20">
        <v>41529</v>
      </c>
    </row>
    <row r="469" spans="1:15">
      <c r="A469" s="17">
        <v>2013</v>
      </c>
      <c r="B469" s="18" t="s">
        <v>481</v>
      </c>
      <c r="C469" s="18" t="s">
        <v>482</v>
      </c>
      <c r="D469" s="19">
        <v>3206092</v>
      </c>
      <c r="E469" s="19">
        <v>2</v>
      </c>
      <c r="F469" s="19"/>
      <c r="G469" s="19">
        <v>520</v>
      </c>
      <c r="H469" s="19" t="s">
        <v>106</v>
      </c>
      <c r="I469" s="19"/>
      <c r="J469" s="19" t="s">
        <v>493</v>
      </c>
      <c r="K469" s="19" t="b">
        <v>1</v>
      </c>
      <c r="L469" s="15">
        <v>2025</v>
      </c>
      <c r="M469" s="16">
        <v>0.13150000000000001</v>
      </c>
      <c r="N469" s="20">
        <v>41529</v>
      </c>
      <c r="O469" s="20">
        <v>41529</v>
      </c>
    </row>
    <row r="470" spans="1:15">
      <c r="A470" s="17">
        <v>2013</v>
      </c>
      <c r="B470" s="18" t="s">
        <v>481</v>
      </c>
      <c r="C470" s="18" t="s">
        <v>482</v>
      </c>
      <c r="D470" s="19">
        <v>3206092</v>
      </c>
      <c r="E470" s="19">
        <v>2</v>
      </c>
      <c r="F470" s="19"/>
      <c r="G470" s="19">
        <v>420</v>
      </c>
      <c r="H470" s="19">
        <v>8.1</v>
      </c>
      <c r="I470" s="19" t="s">
        <v>494</v>
      </c>
      <c r="J470" s="19" t="s">
        <v>96</v>
      </c>
      <c r="K470" s="19" t="b">
        <v>0</v>
      </c>
      <c r="L470" s="15">
        <v>2017</v>
      </c>
      <c r="M470" s="16">
        <v>1403340</v>
      </c>
      <c r="N470" s="20">
        <v>41529</v>
      </c>
      <c r="O470" s="20">
        <v>41529</v>
      </c>
    </row>
    <row r="471" spans="1:15">
      <c r="A471" s="17">
        <v>2013</v>
      </c>
      <c r="B471" s="18" t="s">
        <v>481</v>
      </c>
      <c r="C471" s="18" t="s">
        <v>482</v>
      </c>
      <c r="D471" s="19">
        <v>3206092</v>
      </c>
      <c r="E471" s="19">
        <v>2</v>
      </c>
      <c r="F471" s="19"/>
      <c r="G471" s="19">
        <v>350</v>
      </c>
      <c r="H471" s="19">
        <v>6</v>
      </c>
      <c r="I471" s="19"/>
      <c r="J471" s="19" t="s">
        <v>27</v>
      </c>
      <c r="K471" s="19" t="b">
        <v>1</v>
      </c>
      <c r="L471" s="15">
        <v>2024</v>
      </c>
      <c r="M471" s="16">
        <v>743000</v>
      </c>
      <c r="N471" s="20">
        <v>41529</v>
      </c>
      <c r="O471" s="20">
        <v>41529</v>
      </c>
    </row>
    <row r="472" spans="1:15">
      <c r="A472" s="17">
        <v>2013</v>
      </c>
      <c r="B472" s="18" t="s">
        <v>481</v>
      </c>
      <c r="C472" s="18" t="s">
        <v>482</v>
      </c>
      <c r="D472" s="19">
        <v>3206092</v>
      </c>
      <c r="E472" s="19">
        <v>2</v>
      </c>
      <c r="F472" s="19"/>
      <c r="G472" s="19">
        <v>460</v>
      </c>
      <c r="H472" s="19">
        <v>9.1999999999999993</v>
      </c>
      <c r="I472" s="19" t="s">
        <v>487</v>
      </c>
      <c r="J472" s="19" t="s">
        <v>99</v>
      </c>
      <c r="K472" s="19" t="b">
        <v>0</v>
      </c>
      <c r="L472" s="15">
        <v>2025</v>
      </c>
      <c r="M472" s="16">
        <v>3.56E-2</v>
      </c>
      <c r="N472" s="20">
        <v>41529</v>
      </c>
      <c r="O472" s="20">
        <v>41529</v>
      </c>
    </row>
    <row r="473" spans="1:15">
      <c r="A473" s="17">
        <v>2013</v>
      </c>
      <c r="B473" s="18" t="s">
        <v>481</v>
      </c>
      <c r="C473" s="18" t="s">
        <v>482</v>
      </c>
      <c r="D473" s="19">
        <v>3206092</v>
      </c>
      <c r="E473" s="19">
        <v>2</v>
      </c>
      <c r="F473" s="19"/>
      <c r="G473" s="19">
        <v>470</v>
      </c>
      <c r="H473" s="19">
        <v>9.3000000000000007</v>
      </c>
      <c r="I473" s="19" t="s">
        <v>489</v>
      </c>
      <c r="J473" s="19" t="s">
        <v>490</v>
      </c>
      <c r="K473" s="19" t="b">
        <v>1</v>
      </c>
      <c r="L473" s="15">
        <v>2016</v>
      </c>
      <c r="M473" s="16">
        <v>5.57E-2</v>
      </c>
      <c r="N473" s="20">
        <v>41529</v>
      </c>
      <c r="O473" s="20">
        <v>41529</v>
      </c>
    </row>
    <row r="474" spans="1:15">
      <c r="A474" s="17">
        <v>2013</v>
      </c>
      <c r="B474" s="18" t="s">
        <v>481</v>
      </c>
      <c r="C474" s="18" t="s">
        <v>482</v>
      </c>
      <c r="D474" s="19">
        <v>3206092</v>
      </c>
      <c r="E474" s="19">
        <v>2</v>
      </c>
      <c r="F474" s="19"/>
      <c r="G474" s="19">
        <v>700</v>
      </c>
      <c r="H474" s="19">
        <v>12.2</v>
      </c>
      <c r="I474" s="19"/>
      <c r="J474" s="19" t="s">
        <v>130</v>
      </c>
      <c r="K474" s="19" t="b">
        <v>0</v>
      </c>
      <c r="L474" s="15">
        <v>2014</v>
      </c>
      <c r="M474" s="16">
        <v>3150344</v>
      </c>
      <c r="N474" s="20">
        <v>41529</v>
      </c>
      <c r="O474" s="20">
        <v>41529</v>
      </c>
    </row>
    <row r="475" spans="1:15">
      <c r="A475" s="17">
        <v>2013</v>
      </c>
      <c r="B475" s="18" t="s">
        <v>481</v>
      </c>
      <c r="C475" s="18" t="s">
        <v>482</v>
      </c>
      <c r="D475" s="19">
        <v>3206092</v>
      </c>
      <c r="E475" s="19">
        <v>2</v>
      </c>
      <c r="F475" s="19"/>
      <c r="G475" s="19">
        <v>60</v>
      </c>
      <c r="H475" s="19" t="s">
        <v>50</v>
      </c>
      <c r="I475" s="19"/>
      <c r="J475" s="19" t="s">
        <v>51</v>
      </c>
      <c r="K475" s="19" t="b">
        <v>1</v>
      </c>
      <c r="L475" s="15">
        <v>2020</v>
      </c>
      <c r="M475" s="16">
        <v>3409000</v>
      </c>
      <c r="N475" s="20">
        <v>41529</v>
      </c>
      <c r="O475" s="20">
        <v>41529</v>
      </c>
    </row>
    <row r="476" spans="1:15">
      <c r="A476" s="17">
        <v>2013</v>
      </c>
      <c r="B476" s="18" t="s">
        <v>481</v>
      </c>
      <c r="C476" s="18" t="s">
        <v>482</v>
      </c>
      <c r="D476" s="19">
        <v>3206092</v>
      </c>
      <c r="E476" s="19">
        <v>2</v>
      </c>
      <c r="F476" s="19"/>
      <c r="G476" s="19">
        <v>505</v>
      </c>
      <c r="H476" s="19" t="s">
        <v>103</v>
      </c>
      <c r="I476" s="19" t="s">
        <v>485</v>
      </c>
      <c r="J476" s="19" t="s">
        <v>104</v>
      </c>
      <c r="K476" s="19" t="b">
        <v>0</v>
      </c>
      <c r="L476" s="15">
        <v>2019</v>
      </c>
      <c r="M476" s="16">
        <v>9.0899999999999995E-2</v>
      </c>
      <c r="N476" s="20">
        <v>41529</v>
      </c>
      <c r="O476" s="20">
        <v>41529</v>
      </c>
    </row>
    <row r="477" spans="1:15">
      <c r="A477" s="17">
        <v>2013</v>
      </c>
      <c r="B477" s="18" t="s">
        <v>481</v>
      </c>
      <c r="C477" s="18" t="s">
        <v>482</v>
      </c>
      <c r="D477" s="19">
        <v>3206092</v>
      </c>
      <c r="E477" s="19">
        <v>2</v>
      </c>
      <c r="F477" s="19"/>
      <c r="G477" s="19">
        <v>470</v>
      </c>
      <c r="H477" s="19">
        <v>9.3000000000000007</v>
      </c>
      <c r="I477" s="19" t="s">
        <v>489</v>
      </c>
      <c r="J477" s="19" t="s">
        <v>490</v>
      </c>
      <c r="K477" s="19" t="b">
        <v>1</v>
      </c>
      <c r="L477" s="15">
        <v>2022</v>
      </c>
      <c r="M477" s="16">
        <v>7.9899999999999999E-2</v>
      </c>
      <c r="N477" s="20">
        <v>41529</v>
      </c>
      <c r="O477" s="20">
        <v>41529</v>
      </c>
    </row>
    <row r="478" spans="1:15">
      <c r="A478" s="17">
        <v>2013</v>
      </c>
      <c r="B478" s="18" t="s">
        <v>481</v>
      </c>
      <c r="C478" s="18" t="s">
        <v>482</v>
      </c>
      <c r="D478" s="19">
        <v>3206092</v>
      </c>
      <c r="E478" s="19">
        <v>2</v>
      </c>
      <c r="F478" s="19"/>
      <c r="G478" s="19">
        <v>470</v>
      </c>
      <c r="H478" s="19">
        <v>9.3000000000000007</v>
      </c>
      <c r="I478" s="19" t="s">
        <v>489</v>
      </c>
      <c r="J478" s="19" t="s">
        <v>490</v>
      </c>
      <c r="K478" s="19" t="b">
        <v>1</v>
      </c>
      <c r="L478" s="15">
        <v>2024</v>
      </c>
      <c r="M478" s="16">
        <v>7.7700000000000005E-2</v>
      </c>
      <c r="N478" s="20">
        <v>41529</v>
      </c>
      <c r="O478" s="20">
        <v>41529</v>
      </c>
    </row>
    <row r="479" spans="1:15">
      <c r="A479" s="17">
        <v>2013</v>
      </c>
      <c r="B479" s="18" t="s">
        <v>481</v>
      </c>
      <c r="C479" s="18" t="s">
        <v>482</v>
      </c>
      <c r="D479" s="19">
        <v>3206092</v>
      </c>
      <c r="E479" s="19">
        <v>2</v>
      </c>
      <c r="F479" s="19"/>
      <c r="G479" s="19">
        <v>310</v>
      </c>
      <c r="H479" s="19">
        <v>5.0999999999999996</v>
      </c>
      <c r="I479" s="19"/>
      <c r="J479" s="19" t="s">
        <v>84</v>
      </c>
      <c r="K479" s="19" t="b">
        <v>1</v>
      </c>
      <c r="L479" s="15">
        <v>2018</v>
      </c>
      <c r="M479" s="16">
        <v>600000</v>
      </c>
      <c r="N479" s="20">
        <v>41529</v>
      </c>
      <c r="O479" s="20">
        <v>41529</v>
      </c>
    </row>
    <row r="480" spans="1:15">
      <c r="A480" s="17">
        <v>2013</v>
      </c>
      <c r="B480" s="18" t="s">
        <v>481</v>
      </c>
      <c r="C480" s="18" t="s">
        <v>482</v>
      </c>
      <c r="D480" s="19">
        <v>3206092</v>
      </c>
      <c r="E480" s="19">
        <v>2</v>
      </c>
      <c r="F480" s="19"/>
      <c r="G480" s="19">
        <v>880</v>
      </c>
      <c r="H480" s="19">
        <v>14.1</v>
      </c>
      <c r="I480" s="19"/>
      <c r="J480" s="19" t="s">
        <v>154</v>
      </c>
      <c r="K480" s="19" t="b">
        <v>1</v>
      </c>
      <c r="L480" s="15">
        <v>2019</v>
      </c>
      <c r="M480" s="16">
        <v>1200000</v>
      </c>
      <c r="N480" s="20">
        <v>41529</v>
      </c>
      <c r="O480" s="20">
        <v>41529</v>
      </c>
    </row>
    <row r="481" spans="1:15">
      <c r="A481" s="17">
        <v>2013</v>
      </c>
      <c r="B481" s="18" t="s">
        <v>481</v>
      </c>
      <c r="C481" s="18" t="s">
        <v>482</v>
      </c>
      <c r="D481" s="19">
        <v>3206092</v>
      </c>
      <c r="E481" s="19">
        <v>2</v>
      </c>
      <c r="F481" s="19"/>
      <c r="G481" s="19">
        <v>590</v>
      </c>
      <c r="H481" s="19">
        <v>11.2</v>
      </c>
      <c r="I481" s="19"/>
      <c r="J481" s="19" t="s">
        <v>115</v>
      </c>
      <c r="K481" s="19" t="b">
        <v>1</v>
      </c>
      <c r="L481" s="15">
        <v>2015</v>
      </c>
      <c r="M481" s="16">
        <v>3250000</v>
      </c>
      <c r="N481" s="20">
        <v>41529</v>
      </c>
      <c r="O481" s="20">
        <v>41529</v>
      </c>
    </row>
    <row r="482" spans="1:15">
      <c r="A482" s="17">
        <v>2013</v>
      </c>
      <c r="B482" s="18" t="s">
        <v>481</v>
      </c>
      <c r="C482" s="18" t="s">
        <v>482</v>
      </c>
      <c r="D482" s="19">
        <v>3206092</v>
      </c>
      <c r="E482" s="19">
        <v>2</v>
      </c>
      <c r="F482" s="19"/>
      <c r="G482" s="19">
        <v>540</v>
      </c>
      <c r="H482" s="19" t="s">
        <v>109</v>
      </c>
      <c r="I482" s="19" t="s">
        <v>499</v>
      </c>
      <c r="J482" s="19" t="s">
        <v>110</v>
      </c>
      <c r="K482" s="19" t="b">
        <v>0</v>
      </c>
      <c r="L482" s="15">
        <v>2015</v>
      </c>
      <c r="M482" s="16">
        <v>51</v>
      </c>
      <c r="N482" s="20">
        <v>41529</v>
      </c>
      <c r="O482" s="20">
        <v>41529</v>
      </c>
    </row>
    <row r="483" spans="1:15">
      <c r="A483" s="17">
        <v>2013</v>
      </c>
      <c r="B483" s="18" t="s">
        <v>481</v>
      </c>
      <c r="C483" s="18" t="s">
        <v>482</v>
      </c>
      <c r="D483" s="19">
        <v>3206092</v>
      </c>
      <c r="E483" s="19">
        <v>2</v>
      </c>
      <c r="F483" s="19"/>
      <c r="G483" s="19">
        <v>300</v>
      </c>
      <c r="H483" s="19">
        <v>5</v>
      </c>
      <c r="I483" s="19" t="s">
        <v>500</v>
      </c>
      <c r="J483" s="19" t="s">
        <v>83</v>
      </c>
      <c r="K483" s="19" t="b">
        <v>0</v>
      </c>
      <c r="L483" s="15">
        <v>2021</v>
      </c>
      <c r="M483" s="16">
        <v>1200000</v>
      </c>
      <c r="N483" s="20">
        <v>41529</v>
      </c>
      <c r="O483" s="20">
        <v>41529</v>
      </c>
    </row>
    <row r="484" spans="1:15">
      <c r="A484" s="17">
        <v>2013</v>
      </c>
      <c r="B484" s="18" t="s">
        <v>481</v>
      </c>
      <c r="C484" s="18" t="s">
        <v>482</v>
      </c>
      <c r="D484" s="19">
        <v>3206092</v>
      </c>
      <c r="E484" s="19">
        <v>2</v>
      </c>
      <c r="F484" s="19"/>
      <c r="G484" s="19">
        <v>500</v>
      </c>
      <c r="H484" s="19">
        <v>9.6</v>
      </c>
      <c r="I484" s="19" t="s">
        <v>488</v>
      </c>
      <c r="J484" s="19" t="s">
        <v>102</v>
      </c>
      <c r="K484" s="19" t="b">
        <v>0</v>
      </c>
      <c r="L484" s="15">
        <v>2022</v>
      </c>
      <c r="M484" s="16">
        <v>7.9899999999999999E-2</v>
      </c>
      <c r="N484" s="20">
        <v>41529</v>
      </c>
      <c r="O484" s="20">
        <v>41529</v>
      </c>
    </row>
    <row r="485" spans="1:15">
      <c r="A485" s="17">
        <v>2013</v>
      </c>
      <c r="B485" s="18" t="s">
        <v>481</v>
      </c>
      <c r="C485" s="18" t="s">
        <v>482</v>
      </c>
      <c r="D485" s="19">
        <v>3206092</v>
      </c>
      <c r="E485" s="19">
        <v>2</v>
      </c>
      <c r="F485" s="19"/>
      <c r="G485" s="19">
        <v>500</v>
      </c>
      <c r="H485" s="19">
        <v>9.6</v>
      </c>
      <c r="I485" s="19" t="s">
        <v>488</v>
      </c>
      <c r="J485" s="19" t="s">
        <v>102</v>
      </c>
      <c r="K485" s="19" t="b">
        <v>0</v>
      </c>
      <c r="L485" s="15">
        <v>2016</v>
      </c>
      <c r="M485" s="16">
        <v>5.57E-2</v>
      </c>
      <c r="N485" s="20">
        <v>41529</v>
      </c>
      <c r="O485" s="20">
        <v>41529</v>
      </c>
    </row>
    <row r="486" spans="1:15">
      <c r="A486" s="17">
        <v>2013</v>
      </c>
      <c r="B486" s="18" t="s">
        <v>481</v>
      </c>
      <c r="C486" s="18" t="s">
        <v>482</v>
      </c>
      <c r="D486" s="19">
        <v>3206092</v>
      </c>
      <c r="E486" s="19">
        <v>2</v>
      </c>
      <c r="F486" s="19"/>
      <c r="G486" s="19">
        <v>370</v>
      </c>
      <c r="H486" s="19" t="s">
        <v>91</v>
      </c>
      <c r="I486" s="19"/>
      <c r="J486" s="19" t="s">
        <v>92</v>
      </c>
      <c r="K486" s="19" t="b">
        <v>1</v>
      </c>
      <c r="L486" s="15">
        <v>2013</v>
      </c>
      <c r="M486" s="16">
        <v>2599177.14</v>
      </c>
      <c r="N486" s="20">
        <v>41529</v>
      </c>
      <c r="O486" s="20">
        <v>41529</v>
      </c>
    </row>
    <row r="487" spans="1:15">
      <c r="A487" s="17">
        <v>2013</v>
      </c>
      <c r="B487" s="18" t="s">
        <v>481</v>
      </c>
      <c r="C487" s="18" t="s">
        <v>482</v>
      </c>
      <c r="D487" s="19">
        <v>3206092</v>
      </c>
      <c r="E487" s="19">
        <v>2</v>
      </c>
      <c r="F487" s="19"/>
      <c r="G487" s="19">
        <v>505</v>
      </c>
      <c r="H487" s="19" t="s">
        <v>103</v>
      </c>
      <c r="I487" s="19" t="s">
        <v>485</v>
      </c>
      <c r="J487" s="19" t="s">
        <v>104</v>
      </c>
      <c r="K487" s="19" t="b">
        <v>0</v>
      </c>
      <c r="L487" s="15">
        <v>2017</v>
      </c>
      <c r="M487" s="16">
        <v>9.3399999999999997E-2</v>
      </c>
      <c r="N487" s="20">
        <v>41529</v>
      </c>
      <c r="O487" s="20">
        <v>41529</v>
      </c>
    </row>
    <row r="488" spans="1:15">
      <c r="A488" s="17">
        <v>2013</v>
      </c>
      <c r="B488" s="18" t="s">
        <v>481</v>
      </c>
      <c r="C488" s="18" t="s">
        <v>482</v>
      </c>
      <c r="D488" s="19">
        <v>3206092</v>
      </c>
      <c r="E488" s="19">
        <v>2</v>
      </c>
      <c r="F488" s="19"/>
      <c r="G488" s="19">
        <v>80</v>
      </c>
      <c r="H488" s="19" t="s">
        <v>54</v>
      </c>
      <c r="I488" s="19"/>
      <c r="J488" s="19" t="s">
        <v>55</v>
      </c>
      <c r="K488" s="19" t="b">
        <v>1</v>
      </c>
      <c r="L488" s="15">
        <v>2013</v>
      </c>
      <c r="M488" s="16">
        <v>3746501.5</v>
      </c>
      <c r="N488" s="20">
        <v>41529</v>
      </c>
      <c r="O488" s="20">
        <v>41529</v>
      </c>
    </row>
    <row r="489" spans="1:15">
      <c r="A489" s="17">
        <v>2013</v>
      </c>
      <c r="B489" s="18" t="s">
        <v>481</v>
      </c>
      <c r="C489" s="18" t="s">
        <v>482</v>
      </c>
      <c r="D489" s="19">
        <v>3206092</v>
      </c>
      <c r="E489" s="19">
        <v>2</v>
      </c>
      <c r="F489" s="19"/>
      <c r="G489" s="19">
        <v>390</v>
      </c>
      <c r="H489" s="19">
        <v>6.3</v>
      </c>
      <c r="I489" s="19" t="s">
        <v>498</v>
      </c>
      <c r="J489" s="19" t="s">
        <v>94</v>
      </c>
      <c r="K489" s="19" t="b">
        <v>0</v>
      </c>
      <c r="L489" s="15">
        <v>2021</v>
      </c>
      <c r="M489" s="16">
        <v>0.26500000000000001</v>
      </c>
      <c r="N489" s="20">
        <v>41529</v>
      </c>
      <c r="O489" s="20">
        <v>41529</v>
      </c>
    </row>
    <row r="490" spans="1:15">
      <c r="A490" s="17">
        <v>2013</v>
      </c>
      <c r="B490" s="18" t="s">
        <v>481</v>
      </c>
      <c r="C490" s="18" t="s">
        <v>482</v>
      </c>
      <c r="D490" s="19">
        <v>3206092</v>
      </c>
      <c r="E490" s="19">
        <v>2</v>
      </c>
      <c r="F490" s="19"/>
      <c r="G490" s="19">
        <v>120</v>
      </c>
      <c r="H490" s="19">
        <v>2</v>
      </c>
      <c r="I490" s="19" t="s">
        <v>496</v>
      </c>
      <c r="J490" s="19" t="s">
        <v>21</v>
      </c>
      <c r="K490" s="19" t="b">
        <v>0</v>
      </c>
      <c r="L490" s="15">
        <v>2014</v>
      </c>
      <c r="M490" s="16">
        <v>19193344</v>
      </c>
      <c r="N490" s="20">
        <v>41529</v>
      </c>
      <c r="O490" s="20">
        <v>41529</v>
      </c>
    </row>
    <row r="491" spans="1:15">
      <c r="A491" s="17">
        <v>2013</v>
      </c>
      <c r="B491" s="18" t="s">
        <v>481</v>
      </c>
      <c r="C491" s="18" t="s">
        <v>482</v>
      </c>
      <c r="D491" s="19">
        <v>3206092</v>
      </c>
      <c r="E491" s="19">
        <v>2</v>
      </c>
      <c r="F491" s="19"/>
      <c r="G491" s="19">
        <v>590</v>
      </c>
      <c r="H491" s="19">
        <v>11.2</v>
      </c>
      <c r="I491" s="19"/>
      <c r="J491" s="19" t="s">
        <v>115</v>
      </c>
      <c r="K491" s="19" t="b">
        <v>1</v>
      </c>
      <c r="L491" s="15">
        <v>2022</v>
      </c>
      <c r="M491" s="16">
        <v>3900000</v>
      </c>
      <c r="N491" s="20">
        <v>41529</v>
      </c>
      <c r="O491" s="20">
        <v>41529</v>
      </c>
    </row>
    <row r="492" spans="1:15">
      <c r="A492" s="17">
        <v>2013</v>
      </c>
      <c r="B492" s="18" t="s">
        <v>481</v>
      </c>
      <c r="C492" s="18" t="s">
        <v>482</v>
      </c>
      <c r="D492" s="19">
        <v>3206092</v>
      </c>
      <c r="E492" s="19">
        <v>2</v>
      </c>
      <c r="F492" s="19"/>
      <c r="G492" s="19">
        <v>120</v>
      </c>
      <c r="H492" s="19">
        <v>2</v>
      </c>
      <c r="I492" s="19" t="s">
        <v>496</v>
      </c>
      <c r="J492" s="19" t="s">
        <v>21</v>
      </c>
      <c r="K492" s="19" t="b">
        <v>0</v>
      </c>
      <c r="L492" s="15">
        <v>2018</v>
      </c>
      <c r="M492" s="16">
        <v>17945387</v>
      </c>
      <c r="N492" s="20">
        <v>41529</v>
      </c>
      <c r="O492" s="20">
        <v>41529</v>
      </c>
    </row>
    <row r="493" spans="1:15">
      <c r="A493" s="17">
        <v>2013</v>
      </c>
      <c r="B493" s="18" t="s">
        <v>481</v>
      </c>
      <c r="C493" s="18" t="s">
        <v>482</v>
      </c>
      <c r="D493" s="19">
        <v>3206092</v>
      </c>
      <c r="E493" s="19">
        <v>2</v>
      </c>
      <c r="F493" s="19"/>
      <c r="G493" s="19">
        <v>30</v>
      </c>
      <c r="H493" s="19" t="s">
        <v>44</v>
      </c>
      <c r="I493" s="19"/>
      <c r="J493" s="19" t="s">
        <v>45</v>
      </c>
      <c r="K493" s="19" t="b">
        <v>1</v>
      </c>
      <c r="L493" s="15">
        <v>2020</v>
      </c>
      <c r="M493" s="16">
        <v>1721000</v>
      </c>
      <c r="N493" s="20">
        <v>41529</v>
      </c>
      <c r="O493" s="20">
        <v>41529</v>
      </c>
    </row>
    <row r="494" spans="1:15">
      <c r="A494" s="17">
        <v>2013</v>
      </c>
      <c r="B494" s="18" t="s">
        <v>481</v>
      </c>
      <c r="C494" s="18" t="s">
        <v>482</v>
      </c>
      <c r="D494" s="19">
        <v>3206092</v>
      </c>
      <c r="E494" s="19">
        <v>2</v>
      </c>
      <c r="F494" s="19"/>
      <c r="G494" s="19">
        <v>170</v>
      </c>
      <c r="H494" s="19" t="s">
        <v>68</v>
      </c>
      <c r="I494" s="19"/>
      <c r="J494" s="19" t="s">
        <v>69</v>
      </c>
      <c r="K494" s="19" t="b">
        <v>1</v>
      </c>
      <c r="L494" s="15">
        <v>2022</v>
      </c>
      <c r="M494" s="16">
        <v>263000</v>
      </c>
      <c r="N494" s="20">
        <v>41529</v>
      </c>
      <c r="O494" s="20">
        <v>41529</v>
      </c>
    </row>
    <row r="495" spans="1:15">
      <c r="A495" s="17">
        <v>2013</v>
      </c>
      <c r="B495" s="18" t="s">
        <v>481</v>
      </c>
      <c r="C495" s="18" t="s">
        <v>482</v>
      </c>
      <c r="D495" s="19">
        <v>3206092</v>
      </c>
      <c r="E495" s="19">
        <v>2</v>
      </c>
      <c r="F495" s="19"/>
      <c r="G495" s="19">
        <v>170</v>
      </c>
      <c r="H495" s="19" t="s">
        <v>68</v>
      </c>
      <c r="I495" s="19"/>
      <c r="J495" s="19" t="s">
        <v>69</v>
      </c>
      <c r="K495" s="19" t="b">
        <v>1</v>
      </c>
      <c r="L495" s="15">
        <v>2016</v>
      </c>
      <c r="M495" s="16">
        <v>600000</v>
      </c>
      <c r="N495" s="20">
        <v>41529</v>
      </c>
      <c r="O495" s="20">
        <v>41529</v>
      </c>
    </row>
    <row r="496" spans="1:15">
      <c r="A496" s="17">
        <v>2013</v>
      </c>
      <c r="B496" s="18" t="s">
        <v>481</v>
      </c>
      <c r="C496" s="18" t="s">
        <v>482</v>
      </c>
      <c r="D496" s="19">
        <v>3206092</v>
      </c>
      <c r="E496" s="19">
        <v>2</v>
      </c>
      <c r="F496" s="19"/>
      <c r="G496" s="19">
        <v>90</v>
      </c>
      <c r="H496" s="19">
        <v>1.2</v>
      </c>
      <c r="I496" s="19"/>
      <c r="J496" s="19" t="s">
        <v>56</v>
      </c>
      <c r="K496" s="19" t="b">
        <v>1</v>
      </c>
      <c r="L496" s="15">
        <v>2015</v>
      </c>
      <c r="M496" s="16">
        <v>300000</v>
      </c>
      <c r="N496" s="20">
        <v>41529</v>
      </c>
      <c r="O496" s="20">
        <v>41529</v>
      </c>
    </row>
    <row r="497" spans="1:15">
      <c r="A497" s="17">
        <v>2013</v>
      </c>
      <c r="B497" s="18" t="s">
        <v>481</v>
      </c>
      <c r="C497" s="18" t="s">
        <v>482</v>
      </c>
      <c r="D497" s="19">
        <v>3206092</v>
      </c>
      <c r="E497" s="19">
        <v>2</v>
      </c>
      <c r="F497" s="19"/>
      <c r="G497" s="19">
        <v>560</v>
      </c>
      <c r="H497" s="19">
        <v>10.1</v>
      </c>
      <c r="I497" s="19"/>
      <c r="J497" s="19" t="s">
        <v>112</v>
      </c>
      <c r="K497" s="19" t="b">
        <v>0</v>
      </c>
      <c r="L497" s="15">
        <v>2020</v>
      </c>
      <c r="M497" s="16">
        <v>1300000</v>
      </c>
      <c r="N497" s="20">
        <v>41529</v>
      </c>
      <c r="O497" s="20">
        <v>41529</v>
      </c>
    </row>
    <row r="498" spans="1:15">
      <c r="A498" s="17">
        <v>2013</v>
      </c>
      <c r="B498" s="18" t="s">
        <v>481</v>
      </c>
      <c r="C498" s="18" t="s">
        <v>482</v>
      </c>
      <c r="D498" s="19">
        <v>3206092</v>
      </c>
      <c r="E498" s="19">
        <v>2</v>
      </c>
      <c r="F498" s="19"/>
      <c r="G498" s="19">
        <v>900</v>
      </c>
      <c r="H498" s="19">
        <v>14.3</v>
      </c>
      <c r="I498" s="19"/>
      <c r="J498" s="19" t="s">
        <v>156</v>
      </c>
      <c r="K498" s="19" t="b">
        <v>1</v>
      </c>
      <c r="L498" s="15">
        <v>2014</v>
      </c>
      <c r="M498" s="16">
        <v>9850</v>
      </c>
      <c r="N498" s="20">
        <v>41529</v>
      </c>
      <c r="O498" s="20">
        <v>41529</v>
      </c>
    </row>
    <row r="499" spans="1:15">
      <c r="A499" s="17">
        <v>2013</v>
      </c>
      <c r="B499" s="18" t="s">
        <v>481</v>
      </c>
      <c r="C499" s="18" t="s">
        <v>482</v>
      </c>
      <c r="D499" s="19">
        <v>3206092</v>
      </c>
      <c r="E499" s="19">
        <v>2</v>
      </c>
      <c r="F499" s="19"/>
      <c r="G499" s="19">
        <v>560</v>
      </c>
      <c r="H499" s="19">
        <v>10.1</v>
      </c>
      <c r="I499" s="19"/>
      <c r="J499" s="19" t="s">
        <v>112</v>
      </c>
      <c r="K499" s="19" t="b">
        <v>0</v>
      </c>
      <c r="L499" s="15">
        <v>2025</v>
      </c>
      <c r="M499" s="16">
        <v>465000</v>
      </c>
      <c r="N499" s="20">
        <v>41529</v>
      </c>
      <c r="O499" s="20">
        <v>41529</v>
      </c>
    </row>
    <row r="500" spans="1:15">
      <c r="A500" s="17">
        <v>2013</v>
      </c>
      <c r="B500" s="18" t="s">
        <v>481</v>
      </c>
      <c r="C500" s="18" t="s">
        <v>482</v>
      </c>
      <c r="D500" s="19">
        <v>3206092</v>
      </c>
      <c r="E500" s="19">
        <v>2</v>
      </c>
      <c r="F500" s="19"/>
      <c r="G500" s="19">
        <v>50</v>
      </c>
      <c r="H500" s="19" t="s">
        <v>48</v>
      </c>
      <c r="I500" s="19"/>
      <c r="J500" s="19" t="s">
        <v>49</v>
      </c>
      <c r="K500" s="19" t="b">
        <v>1</v>
      </c>
      <c r="L500" s="15">
        <v>2022</v>
      </c>
      <c r="M500" s="16">
        <v>6125000</v>
      </c>
      <c r="N500" s="20">
        <v>41529</v>
      </c>
      <c r="O500" s="20">
        <v>41529</v>
      </c>
    </row>
    <row r="501" spans="1:15">
      <c r="A501" s="17">
        <v>2013</v>
      </c>
      <c r="B501" s="18" t="s">
        <v>481</v>
      </c>
      <c r="C501" s="18" t="s">
        <v>482</v>
      </c>
      <c r="D501" s="19">
        <v>3206092</v>
      </c>
      <c r="E501" s="19">
        <v>2</v>
      </c>
      <c r="F501" s="19"/>
      <c r="G501" s="19">
        <v>320</v>
      </c>
      <c r="H501" s="19" t="s">
        <v>85</v>
      </c>
      <c r="I501" s="19"/>
      <c r="J501" s="19" t="s">
        <v>501</v>
      </c>
      <c r="K501" s="19" t="b">
        <v>1</v>
      </c>
      <c r="L501" s="15">
        <v>2014</v>
      </c>
      <c r="M501" s="16">
        <v>1057000</v>
      </c>
      <c r="N501" s="20">
        <v>41529</v>
      </c>
      <c r="O501" s="20">
        <v>41529</v>
      </c>
    </row>
    <row r="502" spans="1:15">
      <c r="A502" s="17">
        <v>2013</v>
      </c>
      <c r="B502" s="18" t="s">
        <v>481</v>
      </c>
      <c r="C502" s="18" t="s">
        <v>482</v>
      </c>
      <c r="D502" s="19">
        <v>3206092</v>
      </c>
      <c r="E502" s="19">
        <v>2</v>
      </c>
      <c r="F502" s="19"/>
      <c r="G502" s="19">
        <v>730</v>
      </c>
      <c r="H502" s="19">
        <v>12.3</v>
      </c>
      <c r="I502" s="19"/>
      <c r="J502" s="19" t="s">
        <v>135</v>
      </c>
      <c r="K502" s="19" t="b">
        <v>0</v>
      </c>
      <c r="L502" s="15">
        <v>2014</v>
      </c>
      <c r="M502" s="16">
        <v>23010</v>
      </c>
      <c r="N502" s="20">
        <v>41529</v>
      </c>
      <c r="O502" s="20">
        <v>41529</v>
      </c>
    </row>
    <row r="503" spans="1:15">
      <c r="A503" s="17">
        <v>2013</v>
      </c>
      <c r="B503" s="18" t="s">
        <v>481</v>
      </c>
      <c r="C503" s="18" t="s">
        <v>482</v>
      </c>
      <c r="D503" s="19">
        <v>3206092</v>
      </c>
      <c r="E503" s="19">
        <v>2</v>
      </c>
      <c r="F503" s="19"/>
      <c r="G503" s="19">
        <v>540</v>
      </c>
      <c r="H503" s="19" t="s">
        <v>109</v>
      </c>
      <c r="I503" s="19" t="s">
        <v>499</v>
      </c>
      <c r="J503" s="19" t="s">
        <v>110</v>
      </c>
      <c r="K503" s="19" t="b">
        <v>0</v>
      </c>
      <c r="L503" s="15">
        <v>2021</v>
      </c>
      <c r="M503" s="16">
        <v>109</v>
      </c>
      <c r="N503" s="20">
        <v>41529</v>
      </c>
      <c r="O503" s="20">
        <v>41529</v>
      </c>
    </row>
    <row r="504" spans="1:15">
      <c r="A504" s="17">
        <v>2013</v>
      </c>
      <c r="B504" s="18" t="s">
        <v>481</v>
      </c>
      <c r="C504" s="18" t="s">
        <v>482</v>
      </c>
      <c r="D504" s="19">
        <v>3206092</v>
      </c>
      <c r="E504" s="19">
        <v>2</v>
      </c>
      <c r="F504" s="19"/>
      <c r="G504" s="19">
        <v>580</v>
      </c>
      <c r="H504" s="19">
        <v>11.1</v>
      </c>
      <c r="I504" s="19"/>
      <c r="J504" s="19" t="s">
        <v>114</v>
      </c>
      <c r="K504" s="19" t="b">
        <v>0</v>
      </c>
      <c r="L504" s="15">
        <v>2021</v>
      </c>
      <c r="M504" s="16">
        <v>8312482</v>
      </c>
      <c r="N504" s="20">
        <v>41529</v>
      </c>
      <c r="O504" s="20">
        <v>41529</v>
      </c>
    </row>
    <row r="505" spans="1:15">
      <c r="A505" s="17">
        <v>2013</v>
      </c>
      <c r="B505" s="18" t="s">
        <v>481</v>
      </c>
      <c r="C505" s="18" t="s">
        <v>482</v>
      </c>
      <c r="D505" s="19">
        <v>3206092</v>
      </c>
      <c r="E505" s="19">
        <v>2</v>
      </c>
      <c r="F505" s="19"/>
      <c r="G505" s="19">
        <v>540</v>
      </c>
      <c r="H505" s="19" t="s">
        <v>109</v>
      </c>
      <c r="I505" s="19" t="s">
        <v>499</v>
      </c>
      <c r="J505" s="19" t="s">
        <v>110</v>
      </c>
      <c r="K505" s="19" t="b">
        <v>0</v>
      </c>
      <c r="L505" s="15">
        <v>2023</v>
      </c>
      <c r="M505" s="16">
        <v>287</v>
      </c>
      <c r="N505" s="20">
        <v>41529</v>
      </c>
      <c r="O505" s="20">
        <v>41529</v>
      </c>
    </row>
    <row r="506" spans="1:15">
      <c r="A506" s="17">
        <v>2013</v>
      </c>
      <c r="B506" s="18" t="s">
        <v>481</v>
      </c>
      <c r="C506" s="18" t="s">
        <v>482</v>
      </c>
      <c r="D506" s="19">
        <v>3206092</v>
      </c>
      <c r="E506" s="19">
        <v>2</v>
      </c>
      <c r="F506" s="19"/>
      <c r="G506" s="19">
        <v>120</v>
      </c>
      <c r="H506" s="19">
        <v>2</v>
      </c>
      <c r="I506" s="19" t="s">
        <v>496</v>
      </c>
      <c r="J506" s="19" t="s">
        <v>21</v>
      </c>
      <c r="K506" s="19" t="b">
        <v>0</v>
      </c>
      <c r="L506" s="15">
        <v>2017</v>
      </c>
      <c r="M506" s="16">
        <v>17637269</v>
      </c>
      <c r="N506" s="20">
        <v>41529</v>
      </c>
      <c r="O506" s="20">
        <v>41529</v>
      </c>
    </row>
    <row r="507" spans="1:15">
      <c r="A507" s="17">
        <v>2013</v>
      </c>
      <c r="B507" s="18" t="s">
        <v>481</v>
      </c>
      <c r="C507" s="18" t="s">
        <v>482</v>
      </c>
      <c r="D507" s="19">
        <v>3206092</v>
      </c>
      <c r="E507" s="19">
        <v>2</v>
      </c>
      <c r="F507" s="19"/>
      <c r="G507" s="19">
        <v>20</v>
      </c>
      <c r="H507" s="19">
        <v>1.1000000000000001</v>
      </c>
      <c r="I507" s="19"/>
      <c r="J507" s="19" t="s">
        <v>43</v>
      </c>
      <c r="K507" s="19" t="b">
        <v>1</v>
      </c>
      <c r="L507" s="15">
        <v>2022</v>
      </c>
      <c r="M507" s="16">
        <v>19634936</v>
      </c>
      <c r="N507" s="20">
        <v>41529</v>
      </c>
      <c r="O507" s="20">
        <v>41529</v>
      </c>
    </row>
    <row r="508" spans="1:15">
      <c r="A508" s="17">
        <v>2013</v>
      </c>
      <c r="B508" s="18" t="s">
        <v>481</v>
      </c>
      <c r="C508" s="18" t="s">
        <v>482</v>
      </c>
      <c r="D508" s="19">
        <v>3206092</v>
      </c>
      <c r="E508" s="19">
        <v>2</v>
      </c>
      <c r="F508" s="19"/>
      <c r="G508" s="19">
        <v>70</v>
      </c>
      <c r="H508" s="19" t="s">
        <v>52</v>
      </c>
      <c r="I508" s="19"/>
      <c r="J508" s="19" t="s">
        <v>53</v>
      </c>
      <c r="K508" s="19" t="b">
        <v>1</v>
      </c>
      <c r="L508" s="15">
        <v>2024</v>
      </c>
      <c r="M508" s="16">
        <v>7904000</v>
      </c>
      <c r="N508" s="20">
        <v>41529</v>
      </c>
      <c r="O508" s="20">
        <v>41529</v>
      </c>
    </row>
    <row r="509" spans="1:15">
      <c r="A509" s="17">
        <v>2013</v>
      </c>
      <c r="B509" s="18" t="s">
        <v>481</v>
      </c>
      <c r="C509" s="18" t="s">
        <v>482</v>
      </c>
      <c r="D509" s="19">
        <v>3206092</v>
      </c>
      <c r="E509" s="19">
        <v>2</v>
      </c>
      <c r="F509" s="19"/>
      <c r="G509" s="19">
        <v>560</v>
      </c>
      <c r="H509" s="19">
        <v>10.1</v>
      </c>
      <c r="I509" s="19"/>
      <c r="J509" s="19" t="s">
        <v>112</v>
      </c>
      <c r="K509" s="19" t="b">
        <v>0</v>
      </c>
      <c r="L509" s="15">
        <v>2015</v>
      </c>
      <c r="M509" s="16">
        <v>100000</v>
      </c>
      <c r="N509" s="20">
        <v>41529</v>
      </c>
      <c r="O509" s="20">
        <v>41529</v>
      </c>
    </row>
    <row r="510" spans="1:15">
      <c r="A510" s="17">
        <v>2013</v>
      </c>
      <c r="B510" s="18" t="s">
        <v>481</v>
      </c>
      <c r="C510" s="18" t="s">
        <v>482</v>
      </c>
      <c r="D510" s="19">
        <v>3206092</v>
      </c>
      <c r="E510" s="19">
        <v>2</v>
      </c>
      <c r="F510" s="19"/>
      <c r="G510" s="19">
        <v>880</v>
      </c>
      <c r="H510" s="19">
        <v>14.1</v>
      </c>
      <c r="I510" s="19"/>
      <c r="J510" s="19" t="s">
        <v>154</v>
      </c>
      <c r="K510" s="19" t="b">
        <v>1</v>
      </c>
      <c r="L510" s="15">
        <v>2014</v>
      </c>
      <c r="M510" s="16">
        <v>500000</v>
      </c>
      <c r="N510" s="20">
        <v>41529</v>
      </c>
      <c r="O510" s="20">
        <v>41529</v>
      </c>
    </row>
    <row r="511" spans="1:15">
      <c r="A511" s="17">
        <v>2013</v>
      </c>
      <c r="B511" s="18" t="s">
        <v>481</v>
      </c>
      <c r="C511" s="18" t="s">
        <v>482</v>
      </c>
      <c r="D511" s="19">
        <v>3206092</v>
      </c>
      <c r="E511" s="19">
        <v>2</v>
      </c>
      <c r="F511" s="19"/>
      <c r="G511" s="19">
        <v>580</v>
      </c>
      <c r="H511" s="19">
        <v>11.1</v>
      </c>
      <c r="I511" s="19"/>
      <c r="J511" s="19" t="s">
        <v>114</v>
      </c>
      <c r="K511" s="19" t="b">
        <v>0</v>
      </c>
      <c r="L511" s="15">
        <v>2013</v>
      </c>
      <c r="M511" s="16">
        <v>6782288.0599999996</v>
      </c>
      <c r="N511" s="20">
        <v>41529</v>
      </c>
      <c r="O511" s="20">
        <v>41529</v>
      </c>
    </row>
    <row r="512" spans="1:15">
      <c r="A512" s="17">
        <v>2013</v>
      </c>
      <c r="B512" s="18" t="s">
        <v>481</v>
      </c>
      <c r="C512" s="18" t="s">
        <v>482</v>
      </c>
      <c r="D512" s="19">
        <v>3206092</v>
      </c>
      <c r="E512" s="19">
        <v>2</v>
      </c>
      <c r="F512" s="19"/>
      <c r="G512" s="19">
        <v>90</v>
      </c>
      <c r="H512" s="19">
        <v>1.2</v>
      </c>
      <c r="I512" s="19"/>
      <c r="J512" s="19" t="s">
        <v>56</v>
      </c>
      <c r="K512" s="19" t="b">
        <v>1</v>
      </c>
      <c r="L512" s="15">
        <v>2020</v>
      </c>
      <c r="M512" s="16">
        <v>300000</v>
      </c>
      <c r="N512" s="20">
        <v>41529</v>
      </c>
      <c r="O512" s="20">
        <v>41529</v>
      </c>
    </row>
    <row r="513" spans="1:15">
      <c r="A513" s="17">
        <v>2013</v>
      </c>
      <c r="B513" s="18" t="s">
        <v>481</v>
      </c>
      <c r="C513" s="18" t="s">
        <v>482</v>
      </c>
      <c r="D513" s="19">
        <v>3206092</v>
      </c>
      <c r="E513" s="19">
        <v>2</v>
      </c>
      <c r="F513" s="19"/>
      <c r="G513" s="19">
        <v>100</v>
      </c>
      <c r="H513" s="19" t="s">
        <v>57</v>
      </c>
      <c r="I513" s="19"/>
      <c r="J513" s="19" t="s">
        <v>58</v>
      </c>
      <c r="K513" s="19" t="b">
        <v>1</v>
      </c>
      <c r="L513" s="15">
        <v>2016</v>
      </c>
      <c r="M513" s="16">
        <v>300000</v>
      </c>
      <c r="N513" s="20">
        <v>41529</v>
      </c>
      <c r="O513" s="20">
        <v>41529</v>
      </c>
    </row>
    <row r="514" spans="1:15">
      <c r="A514" s="17">
        <v>2013</v>
      </c>
      <c r="B514" s="18" t="s">
        <v>481</v>
      </c>
      <c r="C514" s="18" t="s">
        <v>482</v>
      </c>
      <c r="D514" s="19">
        <v>3206092</v>
      </c>
      <c r="E514" s="19">
        <v>2</v>
      </c>
      <c r="F514" s="19"/>
      <c r="G514" s="19">
        <v>460</v>
      </c>
      <c r="H514" s="19">
        <v>9.1999999999999993</v>
      </c>
      <c r="I514" s="19" t="s">
        <v>487</v>
      </c>
      <c r="J514" s="19" t="s">
        <v>99</v>
      </c>
      <c r="K514" s="19" t="b">
        <v>0</v>
      </c>
      <c r="L514" s="15">
        <v>2024</v>
      </c>
      <c r="M514" s="16">
        <v>7.7700000000000005E-2</v>
      </c>
      <c r="N514" s="20">
        <v>41529</v>
      </c>
      <c r="O514" s="20">
        <v>41529</v>
      </c>
    </row>
    <row r="515" spans="1:15">
      <c r="A515" s="17">
        <v>2013</v>
      </c>
      <c r="B515" s="18" t="s">
        <v>481</v>
      </c>
      <c r="C515" s="18" t="s">
        <v>482</v>
      </c>
      <c r="D515" s="19">
        <v>3206092</v>
      </c>
      <c r="E515" s="19">
        <v>2</v>
      </c>
      <c r="F515" s="19"/>
      <c r="G515" s="19">
        <v>600</v>
      </c>
      <c r="H515" s="19">
        <v>11.3</v>
      </c>
      <c r="I515" s="19" t="s">
        <v>503</v>
      </c>
      <c r="J515" s="19" t="s">
        <v>116</v>
      </c>
      <c r="K515" s="19" t="b">
        <v>1</v>
      </c>
      <c r="L515" s="15">
        <v>2014</v>
      </c>
      <c r="M515" s="16">
        <v>1960042</v>
      </c>
      <c r="N515" s="20">
        <v>41529</v>
      </c>
      <c r="O515" s="20">
        <v>41529</v>
      </c>
    </row>
    <row r="516" spans="1:15">
      <c r="A516" s="17">
        <v>2013</v>
      </c>
      <c r="B516" s="18" t="s">
        <v>481</v>
      </c>
      <c r="C516" s="18" t="s">
        <v>482</v>
      </c>
      <c r="D516" s="19">
        <v>3206092</v>
      </c>
      <c r="E516" s="19">
        <v>2</v>
      </c>
      <c r="F516" s="19"/>
      <c r="G516" s="19">
        <v>310</v>
      </c>
      <c r="H516" s="19">
        <v>5.0999999999999996</v>
      </c>
      <c r="I516" s="19"/>
      <c r="J516" s="19" t="s">
        <v>84</v>
      </c>
      <c r="K516" s="19" t="b">
        <v>1</v>
      </c>
      <c r="L516" s="15">
        <v>2022</v>
      </c>
      <c r="M516" s="16">
        <v>1330000</v>
      </c>
      <c r="N516" s="20">
        <v>41529</v>
      </c>
      <c r="O516" s="20">
        <v>41529</v>
      </c>
    </row>
    <row r="517" spans="1:15">
      <c r="A517" s="17">
        <v>2013</v>
      </c>
      <c r="B517" s="18" t="s">
        <v>481</v>
      </c>
      <c r="C517" s="18" t="s">
        <v>482</v>
      </c>
      <c r="D517" s="19">
        <v>3206092</v>
      </c>
      <c r="E517" s="19">
        <v>2</v>
      </c>
      <c r="F517" s="19"/>
      <c r="G517" s="19">
        <v>520</v>
      </c>
      <c r="H517" s="19" t="s">
        <v>106</v>
      </c>
      <c r="I517" s="19"/>
      <c r="J517" s="19" t="s">
        <v>493</v>
      </c>
      <c r="K517" s="19" t="b">
        <v>1</v>
      </c>
      <c r="L517" s="15">
        <v>2018</v>
      </c>
      <c r="M517" s="16">
        <v>8.5900000000000004E-2</v>
      </c>
      <c r="N517" s="20">
        <v>41529</v>
      </c>
      <c r="O517" s="20">
        <v>41529</v>
      </c>
    </row>
    <row r="518" spans="1:15">
      <c r="A518" s="17">
        <v>2013</v>
      </c>
      <c r="B518" s="18" t="s">
        <v>481</v>
      </c>
      <c r="C518" s="18" t="s">
        <v>482</v>
      </c>
      <c r="D518" s="19">
        <v>3206092</v>
      </c>
      <c r="E518" s="19">
        <v>2</v>
      </c>
      <c r="F518" s="19"/>
      <c r="G518" s="19">
        <v>130</v>
      </c>
      <c r="H518" s="19">
        <v>2.1</v>
      </c>
      <c r="I518" s="19"/>
      <c r="J518" s="19" t="s">
        <v>61</v>
      </c>
      <c r="K518" s="19" t="b">
        <v>1</v>
      </c>
      <c r="L518" s="15">
        <v>2017</v>
      </c>
      <c r="M518" s="16">
        <v>16533929</v>
      </c>
      <c r="N518" s="20">
        <v>41529</v>
      </c>
      <c r="O518" s="20">
        <v>41529</v>
      </c>
    </row>
    <row r="519" spans="1:15">
      <c r="A519" s="17">
        <v>2013</v>
      </c>
      <c r="B519" s="18" t="s">
        <v>481</v>
      </c>
      <c r="C519" s="18" t="s">
        <v>482</v>
      </c>
      <c r="D519" s="19">
        <v>3206092</v>
      </c>
      <c r="E519" s="19">
        <v>2</v>
      </c>
      <c r="F519" s="19"/>
      <c r="G519" s="19">
        <v>190</v>
      </c>
      <c r="H519" s="19">
        <v>2.2000000000000002</v>
      </c>
      <c r="I519" s="19"/>
      <c r="J519" s="19" t="s">
        <v>72</v>
      </c>
      <c r="K519" s="19" t="b">
        <v>0</v>
      </c>
      <c r="L519" s="15">
        <v>2024</v>
      </c>
      <c r="M519" s="16">
        <v>1315945</v>
      </c>
      <c r="N519" s="20">
        <v>41529</v>
      </c>
      <c r="O519" s="20">
        <v>41529</v>
      </c>
    </row>
    <row r="520" spans="1:15">
      <c r="A520" s="17">
        <v>2013</v>
      </c>
      <c r="B520" s="18" t="s">
        <v>481</v>
      </c>
      <c r="C520" s="18" t="s">
        <v>482</v>
      </c>
      <c r="D520" s="19">
        <v>3206092</v>
      </c>
      <c r="E520" s="19">
        <v>2</v>
      </c>
      <c r="F520" s="19"/>
      <c r="G520" s="19">
        <v>430</v>
      </c>
      <c r="H520" s="19">
        <v>8.1999999999999993</v>
      </c>
      <c r="I520" s="19" t="s">
        <v>483</v>
      </c>
      <c r="J520" s="19" t="s">
        <v>97</v>
      </c>
      <c r="K520" s="19" t="b">
        <v>0</v>
      </c>
      <c r="L520" s="15">
        <v>2017</v>
      </c>
      <c r="M520" s="16">
        <v>1403340</v>
      </c>
      <c r="N520" s="20">
        <v>41529</v>
      </c>
      <c r="O520" s="20">
        <v>41529</v>
      </c>
    </row>
    <row r="521" spans="1:15">
      <c r="A521" s="17">
        <v>2013</v>
      </c>
      <c r="B521" s="18" t="s">
        <v>481</v>
      </c>
      <c r="C521" s="18" t="s">
        <v>482</v>
      </c>
      <c r="D521" s="19">
        <v>3206092</v>
      </c>
      <c r="E521" s="19">
        <v>2</v>
      </c>
      <c r="F521" s="19"/>
      <c r="G521" s="19">
        <v>590</v>
      </c>
      <c r="H521" s="19">
        <v>11.2</v>
      </c>
      <c r="I521" s="19"/>
      <c r="J521" s="19" t="s">
        <v>115</v>
      </c>
      <c r="K521" s="19" t="b">
        <v>1</v>
      </c>
      <c r="L521" s="15">
        <v>2016</v>
      </c>
      <c r="M521" s="16">
        <v>3300000</v>
      </c>
      <c r="N521" s="20">
        <v>41529</v>
      </c>
      <c r="O521" s="20">
        <v>41529</v>
      </c>
    </row>
    <row r="522" spans="1:15">
      <c r="A522" s="17">
        <v>2013</v>
      </c>
      <c r="B522" s="18" t="s">
        <v>481</v>
      </c>
      <c r="C522" s="18" t="s">
        <v>482</v>
      </c>
      <c r="D522" s="19">
        <v>3206092</v>
      </c>
      <c r="E522" s="19">
        <v>2</v>
      </c>
      <c r="F522" s="19"/>
      <c r="G522" s="19">
        <v>60</v>
      </c>
      <c r="H522" s="19" t="s">
        <v>50</v>
      </c>
      <c r="I522" s="19"/>
      <c r="J522" s="19" t="s">
        <v>51</v>
      </c>
      <c r="K522" s="19" t="b">
        <v>1</v>
      </c>
      <c r="L522" s="15">
        <v>2021</v>
      </c>
      <c r="M522" s="16">
        <v>3511000</v>
      </c>
      <c r="N522" s="20">
        <v>41529</v>
      </c>
      <c r="O522" s="20">
        <v>41529</v>
      </c>
    </row>
    <row r="523" spans="1:15">
      <c r="A523" s="17">
        <v>2013</v>
      </c>
      <c r="B523" s="18" t="s">
        <v>481</v>
      </c>
      <c r="C523" s="18" t="s">
        <v>482</v>
      </c>
      <c r="D523" s="19">
        <v>3206092</v>
      </c>
      <c r="E523" s="19">
        <v>2</v>
      </c>
      <c r="F523" s="19"/>
      <c r="G523" s="19">
        <v>180</v>
      </c>
      <c r="H523" s="19" t="s">
        <v>70</v>
      </c>
      <c r="I523" s="19"/>
      <c r="J523" s="19" t="s">
        <v>71</v>
      </c>
      <c r="K523" s="19" t="b">
        <v>0</v>
      </c>
      <c r="L523" s="15">
        <v>2022</v>
      </c>
      <c r="M523" s="16">
        <v>263000</v>
      </c>
      <c r="N523" s="20">
        <v>41529</v>
      </c>
      <c r="O523" s="20">
        <v>41529</v>
      </c>
    </row>
    <row r="524" spans="1:15">
      <c r="A524" s="17">
        <v>2013</v>
      </c>
      <c r="B524" s="18" t="s">
        <v>481</v>
      </c>
      <c r="C524" s="18" t="s">
        <v>482</v>
      </c>
      <c r="D524" s="19">
        <v>3206092</v>
      </c>
      <c r="E524" s="19">
        <v>2</v>
      </c>
      <c r="F524" s="19"/>
      <c r="G524" s="19">
        <v>50</v>
      </c>
      <c r="H524" s="19" t="s">
        <v>48</v>
      </c>
      <c r="I524" s="19"/>
      <c r="J524" s="19" t="s">
        <v>49</v>
      </c>
      <c r="K524" s="19" t="b">
        <v>1</v>
      </c>
      <c r="L524" s="15">
        <v>2013</v>
      </c>
      <c r="M524" s="16">
        <v>4911346</v>
      </c>
      <c r="N524" s="20">
        <v>41529</v>
      </c>
      <c r="O524" s="20">
        <v>41529</v>
      </c>
    </row>
    <row r="525" spans="1:15">
      <c r="A525" s="17">
        <v>2013</v>
      </c>
      <c r="B525" s="18" t="s">
        <v>481</v>
      </c>
      <c r="C525" s="18" t="s">
        <v>482</v>
      </c>
      <c r="D525" s="19">
        <v>3206092</v>
      </c>
      <c r="E525" s="19">
        <v>2</v>
      </c>
      <c r="F525" s="19"/>
      <c r="G525" s="19">
        <v>180</v>
      </c>
      <c r="H525" s="19" t="s">
        <v>70</v>
      </c>
      <c r="I525" s="19"/>
      <c r="J525" s="19" t="s">
        <v>71</v>
      </c>
      <c r="K525" s="19" t="b">
        <v>0</v>
      </c>
      <c r="L525" s="15">
        <v>2013</v>
      </c>
      <c r="M525" s="16">
        <v>759690</v>
      </c>
      <c r="N525" s="20">
        <v>41529</v>
      </c>
      <c r="O525" s="20">
        <v>41529</v>
      </c>
    </row>
    <row r="526" spans="1:15">
      <c r="A526" s="17">
        <v>2013</v>
      </c>
      <c r="B526" s="18" t="s">
        <v>481</v>
      </c>
      <c r="C526" s="18" t="s">
        <v>482</v>
      </c>
      <c r="D526" s="19">
        <v>3206092</v>
      </c>
      <c r="E526" s="19">
        <v>2</v>
      </c>
      <c r="F526" s="19"/>
      <c r="G526" s="19">
        <v>530</v>
      </c>
      <c r="H526" s="19">
        <v>9.8000000000000007</v>
      </c>
      <c r="I526" s="19" t="s">
        <v>486</v>
      </c>
      <c r="J526" s="19" t="s">
        <v>108</v>
      </c>
      <c r="K526" s="19" t="b">
        <v>0</v>
      </c>
      <c r="L526" s="15">
        <v>2014</v>
      </c>
      <c r="M526" s="16">
        <v>-2</v>
      </c>
      <c r="N526" s="20">
        <v>41529</v>
      </c>
      <c r="O526" s="20">
        <v>41529</v>
      </c>
    </row>
    <row r="527" spans="1:15">
      <c r="A527" s="17">
        <v>2013</v>
      </c>
      <c r="B527" s="18" t="s">
        <v>481</v>
      </c>
      <c r="C527" s="18" t="s">
        <v>482</v>
      </c>
      <c r="D527" s="19">
        <v>3206092</v>
      </c>
      <c r="E527" s="19">
        <v>2</v>
      </c>
      <c r="F527" s="19"/>
      <c r="G527" s="19">
        <v>420</v>
      </c>
      <c r="H527" s="19">
        <v>8.1</v>
      </c>
      <c r="I527" s="19" t="s">
        <v>494</v>
      </c>
      <c r="J527" s="19" t="s">
        <v>96</v>
      </c>
      <c r="K527" s="19" t="b">
        <v>0</v>
      </c>
      <c r="L527" s="15">
        <v>2024</v>
      </c>
      <c r="M527" s="16">
        <v>2563945</v>
      </c>
      <c r="N527" s="20">
        <v>41529</v>
      </c>
      <c r="O527" s="20">
        <v>41529</v>
      </c>
    </row>
    <row r="528" spans="1:15">
      <c r="A528" s="17">
        <v>2013</v>
      </c>
      <c r="B528" s="18" t="s">
        <v>481</v>
      </c>
      <c r="C528" s="18" t="s">
        <v>482</v>
      </c>
      <c r="D528" s="19">
        <v>3206092</v>
      </c>
      <c r="E528" s="19">
        <v>2</v>
      </c>
      <c r="F528" s="19"/>
      <c r="G528" s="19">
        <v>190</v>
      </c>
      <c r="H528" s="19">
        <v>2.2000000000000002</v>
      </c>
      <c r="I528" s="19"/>
      <c r="J528" s="19" t="s">
        <v>72</v>
      </c>
      <c r="K528" s="19" t="b">
        <v>0</v>
      </c>
      <c r="L528" s="15">
        <v>2021</v>
      </c>
      <c r="M528" s="16">
        <v>1196481</v>
      </c>
      <c r="N528" s="20">
        <v>41529</v>
      </c>
      <c r="O528" s="20">
        <v>41529</v>
      </c>
    </row>
    <row r="529" spans="1:15">
      <c r="A529" s="17">
        <v>2013</v>
      </c>
      <c r="B529" s="18" t="s">
        <v>481</v>
      </c>
      <c r="C529" s="18" t="s">
        <v>482</v>
      </c>
      <c r="D529" s="19">
        <v>3206092</v>
      </c>
      <c r="E529" s="19">
        <v>2</v>
      </c>
      <c r="F529" s="19"/>
      <c r="G529" s="19">
        <v>480</v>
      </c>
      <c r="H529" s="19">
        <v>9.4</v>
      </c>
      <c r="I529" s="19" t="s">
        <v>487</v>
      </c>
      <c r="J529" s="19" t="s">
        <v>100</v>
      </c>
      <c r="K529" s="19" t="b">
        <v>0</v>
      </c>
      <c r="L529" s="15">
        <v>2021</v>
      </c>
      <c r="M529" s="16">
        <v>7.9299999999999995E-2</v>
      </c>
      <c r="N529" s="20">
        <v>41529</v>
      </c>
      <c r="O529" s="20">
        <v>41529</v>
      </c>
    </row>
    <row r="530" spans="1:15">
      <c r="A530" s="17">
        <v>2013</v>
      </c>
      <c r="B530" s="18" t="s">
        <v>481</v>
      </c>
      <c r="C530" s="18" t="s">
        <v>482</v>
      </c>
      <c r="D530" s="19">
        <v>3206092</v>
      </c>
      <c r="E530" s="19">
        <v>2</v>
      </c>
      <c r="F530" s="19"/>
      <c r="G530" s="19">
        <v>380</v>
      </c>
      <c r="H530" s="19">
        <v>6.2</v>
      </c>
      <c r="I530" s="19" t="s">
        <v>495</v>
      </c>
      <c r="J530" s="19" t="s">
        <v>93</v>
      </c>
      <c r="K530" s="19" t="b">
        <v>0</v>
      </c>
      <c r="L530" s="15">
        <v>2024</v>
      </c>
      <c r="M530" s="16">
        <v>3.5200000000000002E-2</v>
      </c>
      <c r="N530" s="20">
        <v>41529</v>
      </c>
      <c r="O530" s="20">
        <v>41529</v>
      </c>
    </row>
    <row r="531" spans="1:15">
      <c r="A531" s="17">
        <v>2013</v>
      </c>
      <c r="B531" s="18" t="s">
        <v>481</v>
      </c>
      <c r="C531" s="18" t="s">
        <v>482</v>
      </c>
      <c r="D531" s="19">
        <v>3206092</v>
      </c>
      <c r="E531" s="19">
        <v>2</v>
      </c>
      <c r="F531" s="19"/>
      <c r="G531" s="19">
        <v>40</v>
      </c>
      <c r="H531" s="19" t="s">
        <v>46</v>
      </c>
      <c r="I531" s="19"/>
      <c r="J531" s="19" t="s">
        <v>47</v>
      </c>
      <c r="K531" s="19" t="b">
        <v>1</v>
      </c>
      <c r="L531" s="15">
        <v>2014</v>
      </c>
      <c r="M531" s="16">
        <v>6000</v>
      </c>
      <c r="N531" s="20">
        <v>41529</v>
      </c>
      <c r="O531" s="20">
        <v>41529</v>
      </c>
    </row>
    <row r="532" spans="1:15">
      <c r="A532" s="17">
        <v>2013</v>
      </c>
      <c r="B532" s="18" t="s">
        <v>481</v>
      </c>
      <c r="C532" s="18" t="s">
        <v>482</v>
      </c>
      <c r="D532" s="19">
        <v>3206092</v>
      </c>
      <c r="E532" s="19">
        <v>2</v>
      </c>
      <c r="F532" s="19"/>
      <c r="G532" s="19">
        <v>180</v>
      </c>
      <c r="H532" s="19" t="s">
        <v>70</v>
      </c>
      <c r="I532" s="19"/>
      <c r="J532" s="19" t="s">
        <v>71</v>
      </c>
      <c r="K532" s="19" t="b">
        <v>0</v>
      </c>
      <c r="L532" s="15">
        <v>2021</v>
      </c>
      <c r="M532" s="16">
        <v>335000</v>
      </c>
      <c r="N532" s="20">
        <v>41529</v>
      </c>
      <c r="O532" s="20">
        <v>41529</v>
      </c>
    </row>
    <row r="533" spans="1:15">
      <c r="A533" s="17">
        <v>2013</v>
      </c>
      <c r="B533" s="18" t="s">
        <v>481</v>
      </c>
      <c r="C533" s="18" t="s">
        <v>482</v>
      </c>
      <c r="D533" s="19">
        <v>3206092</v>
      </c>
      <c r="E533" s="19">
        <v>2</v>
      </c>
      <c r="F533" s="19"/>
      <c r="G533" s="19">
        <v>170</v>
      </c>
      <c r="H533" s="19" t="s">
        <v>68</v>
      </c>
      <c r="I533" s="19"/>
      <c r="J533" s="19" t="s">
        <v>69</v>
      </c>
      <c r="K533" s="19" t="b">
        <v>1</v>
      </c>
      <c r="L533" s="15">
        <v>2024</v>
      </c>
      <c r="M533" s="16">
        <v>93000</v>
      </c>
      <c r="N533" s="20">
        <v>41529</v>
      </c>
      <c r="O533" s="20">
        <v>41529</v>
      </c>
    </row>
    <row r="534" spans="1:15">
      <c r="A534" s="17">
        <v>2013</v>
      </c>
      <c r="B534" s="18" t="s">
        <v>481</v>
      </c>
      <c r="C534" s="18" t="s">
        <v>482</v>
      </c>
      <c r="D534" s="19">
        <v>3206092</v>
      </c>
      <c r="E534" s="19">
        <v>2</v>
      </c>
      <c r="F534" s="19"/>
      <c r="G534" s="19">
        <v>500</v>
      </c>
      <c r="H534" s="19">
        <v>9.6</v>
      </c>
      <c r="I534" s="19" t="s">
        <v>488</v>
      </c>
      <c r="J534" s="19" t="s">
        <v>102</v>
      </c>
      <c r="K534" s="19" t="b">
        <v>0</v>
      </c>
      <c r="L534" s="15">
        <v>2023</v>
      </c>
      <c r="M534" s="16">
        <v>8.2500000000000004E-2</v>
      </c>
      <c r="N534" s="20">
        <v>41529</v>
      </c>
      <c r="O534" s="20">
        <v>41529</v>
      </c>
    </row>
    <row r="535" spans="1:15">
      <c r="A535" s="17">
        <v>2013</v>
      </c>
      <c r="B535" s="18" t="s">
        <v>481</v>
      </c>
      <c r="C535" s="18" t="s">
        <v>482</v>
      </c>
      <c r="D535" s="19">
        <v>3206092</v>
      </c>
      <c r="E535" s="19">
        <v>2</v>
      </c>
      <c r="F535" s="19"/>
      <c r="G535" s="19">
        <v>480</v>
      </c>
      <c r="H535" s="19">
        <v>9.4</v>
      </c>
      <c r="I535" s="19" t="s">
        <v>487</v>
      </c>
      <c r="J535" s="19" t="s">
        <v>100</v>
      </c>
      <c r="K535" s="19" t="b">
        <v>0</v>
      </c>
      <c r="L535" s="15">
        <v>2016</v>
      </c>
      <c r="M535" s="16">
        <v>5.57E-2</v>
      </c>
      <c r="N535" s="20">
        <v>41529</v>
      </c>
      <c r="O535" s="20">
        <v>41529</v>
      </c>
    </row>
    <row r="536" spans="1:15">
      <c r="A536" s="17">
        <v>2013</v>
      </c>
      <c r="B536" s="18" t="s">
        <v>481</v>
      </c>
      <c r="C536" s="18" t="s">
        <v>482</v>
      </c>
      <c r="D536" s="19">
        <v>3206092</v>
      </c>
      <c r="E536" s="19">
        <v>2</v>
      </c>
      <c r="F536" s="19"/>
      <c r="G536" s="19">
        <v>470</v>
      </c>
      <c r="H536" s="19">
        <v>9.3000000000000007</v>
      </c>
      <c r="I536" s="19" t="s">
        <v>489</v>
      </c>
      <c r="J536" s="19" t="s">
        <v>490</v>
      </c>
      <c r="K536" s="19" t="b">
        <v>1</v>
      </c>
      <c r="L536" s="15">
        <v>2015</v>
      </c>
      <c r="M536" s="16">
        <v>4.2299999999999997E-2</v>
      </c>
      <c r="N536" s="20">
        <v>41529</v>
      </c>
      <c r="O536" s="20">
        <v>41529</v>
      </c>
    </row>
    <row r="537" spans="1:15">
      <c r="A537" s="17">
        <v>2013</v>
      </c>
      <c r="B537" s="18" t="s">
        <v>481</v>
      </c>
      <c r="C537" s="18" t="s">
        <v>482</v>
      </c>
      <c r="D537" s="19">
        <v>3206092</v>
      </c>
      <c r="E537" s="19">
        <v>2</v>
      </c>
      <c r="F537" s="19"/>
      <c r="G537" s="19">
        <v>420</v>
      </c>
      <c r="H537" s="19">
        <v>8.1</v>
      </c>
      <c r="I537" s="19" t="s">
        <v>494</v>
      </c>
      <c r="J537" s="19" t="s">
        <v>96</v>
      </c>
      <c r="K537" s="19" t="b">
        <v>0</v>
      </c>
      <c r="L537" s="15">
        <v>2020</v>
      </c>
      <c r="M537" s="16">
        <v>1247662</v>
      </c>
      <c r="N537" s="20">
        <v>41529</v>
      </c>
      <c r="O537" s="20">
        <v>41529</v>
      </c>
    </row>
    <row r="538" spans="1:15">
      <c r="A538" s="17">
        <v>2013</v>
      </c>
      <c r="B538" s="18" t="s">
        <v>481</v>
      </c>
      <c r="C538" s="18" t="s">
        <v>482</v>
      </c>
      <c r="D538" s="19">
        <v>3206092</v>
      </c>
      <c r="E538" s="19">
        <v>2</v>
      </c>
      <c r="F538" s="19"/>
      <c r="G538" s="19">
        <v>80</v>
      </c>
      <c r="H538" s="19" t="s">
        <v>54</v>
      </c>
      <c r="I538" s="19"/>
      <c r="J538" s="19" t="s">
        <v>55</v>
      </c>
      <c r="K538" s="19" t="b">
        <v>1</v>
      </c>
      <c r="L538" s="15">
        <v>2019</v>
      </c>
      <c r="M538" s="16">
        <v>4350000</v>
      </c>
      <c r="N538" s="20">
        <v>41529</v>
      </c>
      <c r="O538" s="20">
        <v>41529</v>
      </c>
    </row>
    <row r="539" spans="1:15">
      <c r="A539" s="17">
        <v>2013</v>
      </c>
      <c r="B539" s="18" t="s">
        <v>481</v>
      </c>
      <c r="C539" s="18" t="s">
        <v>482</v>
      </c>
      <c r="D539" s="19">
        <v>3206092</v>
      </c>
      <c r="E539" s="19">
        <v>2</v>
      </c>
      <c r="F539" s="19"/>
      <c r="G539" s="19">
        <v>420</v>
      </c>
      <c r="H539" s="19">
        <v>8.1</v>
      </c>
      <c r="I539" s="19" t="s">
        <v>494</v>
      </c>
      <c r="J539" s="19" t="s">
        <v>96</v>
      </c>
      <c r="K539" s="19" t="b">
        <v>0</v>
      </c>
      <c r="L539" s="15">
        <v>2023</v>
      </c>
      <c r="M539" s="16">
        <v>2396559</v>
      </c>
      <c r="N539" s="20">
        <v>41529</v>
      </c>
      <c r="O539" s="20">
        <v>41529</v>
      </c>
    </row>
    <row r="540" spans="1:15">
      <c r="A540" s="17">
        <v>2013</v>
      </c>
      <c r="B540" s="18" t="s">
        <v>481</v>
      </c>
      <c r="C540" s="18" t="s">
        <v>482</v>
      </c>
      <c r="D540" s="19">
        <v>3206092</v>
      </c>
      <c r="E540" s="19">
        <v>2</v>
      </c>
      <c r="F540" s="19"/>
      <c r="G540" s="19">
        <v>900</v>
      </c>
      <c r="H540" s="19">
        <v>14.3</v>
      </c>
      <c r="I540" s="19"/>
      <c r="J540" s="19" t="s">
        <v>156</v>
      </c>
      <c r="K540" s="19" t="b">
        <v>1</v>
      </c>
      <c r="L540" s="15">
        <v>2015</v>
      </c>
      <c r="M540" s="16">
        <v>9850</v>
      </c>
      <c r="N540" s="20">
        <v>41529</v>
      </c>
      <c r="O540" s="20">
        <v>41529</v>
      </c>
    </row>
    <row r="541" spans="1:15">
      <c r="A541" s="17">
        <v>2013</v>
      </c>
      <c r="B541" s="18" t="s">
        <v>481</v>
      </c>
      <c r="C541" s="18" t="s">
        <v>482</v>
      </c>
      <c r="D541" s="19">
        <v>3206092</v>
      </c>
      <c r="E541" s="19">
        <v>2</v>
      </c>
      <c r="F541" s="19"/>
      <c r="G541" s="19">
        <v>40</v>
      </c>
      <c r="H541" s="19" t="s">
        <v>46</v>
      </c>
      <c r="I541" s="19"/>
      <c r="J541" s="19" t="s">
        <v>47</v>
      </c>
      <c r="K541" s="19" t="b">
        <v>1</v>
      </c>
      <c r="L541" s="15">
        <v>2021</v>
      </c>
      <c r="M541" s="16">
        <v>12000</v>
      </c>
      <c r="N541" s="20">
        <v>41529</v>
      </c>
      <c r="O541" s="20">
        <v>41529</v>
      </c>
    </row>
    <row r="542" spans="1:15">
      <c r="A542" s="17">
        <v>2013</v>
      </c>
      <c r="B542" s="18" t="s">
        <v>481</v>
      </c>
      <c r="C542" s="18" t="s">
        <v>482</v>
      </c>
      <c r="D542" s="19">
        <v>3206092</v>
      </c>
      <c r="E542" s="19">
        <v>2</v>
      </c>
      <c r="F542" s="19"/>
      <c r="G542" s="19">
        <v>60</v>
      </c>
      <c r="H542" s="19" t="s">
        <v>50</v>
      </c>
      <c r="I542" s="19"/>
      <c r="J542" s="19" t="s">
        <v>51</v>
      </c>
      <c r="K542" s="19" t="b">
        <v>1</v>
      </c>
      <c r="L542" s="15">
        <v>2013</v>
      </c>
      <c r="M542" s="16">
        <v>2900000</v>
      </c>
      <c r="N542" s="20">
        <v>41529</v>
      </c>
      <c r="O542" s="20">
        <v>41529</v>
      </c>
    </row>
    <row r="543" spans="1:15">
      <c r="A543" s="17">
        <v>2013</v>
      </c>
      <c r="B543" s="18" t="s">
        <v>481</v>
      </c>
      <c r="C543" s="18" t="s">
        <v>482</v>
      </c>
      <c r="D543" s="19">
        <v>3206092</v>
      </c>
      <c r="E543" s="19">
        <v>2</v>
      </c>
      <c r="F543" s="19"/>
      <c r="G543" s="19">
        <v>80</v>
      </c>
      <c r="H543" s="19" t="s">
        <v>54</v>
      </c>
      <c r="I543" s="19"/>
      <c r="J543" s="19" t="s">
        <v>55</v>
      </c>
      <c r="K543" s="19" t="b">
        <v>1</v>
      </c>
      <c r="L543" s="15">
        <v>2023</v>
      </c>
      <c r="M543" s="16">
        <v>4250000</v>
      </c>
      <c r="N543" s="20">
        <v>41529</v>
      </c>
      <c r="O543" s="20">
        <v>41529</v>
      </c>
    </row>
    <row r="544" spans="1:15">
      <c r="A544" s="17">
        <v>2013</v>
      </c>
      <c r="B544" s="18" t="s">
        <v>481</v>
      </c>
      <c r="C544" s="18" t="s">
        <v>482</v>
      </c>
      <c r="D544" s="19">
        <v>3206092</v>
      </c>
      <c r="E544" s="19">
        <v>2</v>
      </c>
      <c r="F544" s="19"/>
      <c r="G544" s="19">
        <v>40</v>
      </c>
      <c r="H544" s="19" t="s">
        <v>46</v>
      </c>
      <c r="I544" s="19"/>
      <c r="J544" s="19" t="s">
        <v>47</v>
      </c>
      <c r="K544" s="19" t="b">
        <v>1</v>
      </c>
      <c r="L544" s="15">
        <v>2017</v>
      </c>
      <c r="M544" s="16">
        <v>8000</v>
      </c>
      <c r="N544" s="20">
        <v>41529</v>
      </c>
      <c r="O544" s="20">
        <v>41529</v>
      </c>
    </row>
    <row r="545" spans="1:15">
      <c r="A545" s="17">
        <v>2013</v>
      </c>
      <c r="B545" s="18" t="s">
        <v>481</v>
      </c>
      <c r="C545" s="18" t="s">
        <v>482</v>
      </c>
      <c r="D545" s="19">
        <v>3206092</v>
      </c>
      <c r="E545" s="19">
        <v>2</v>
      </c>
      <c r="F545" s="19"/>
      <c r="G545" s="19">
        <v>190</v>
      </c>
      <c r="H545" s="19">
        <v>2.2000000000000002</v>
      </c>
      <c r="I545" s="19"/>
      <c r="J545" s="19" t="s">
        <v>72</v>
      </c>
      <c r="K545" s="19" t="b">
        <v>0</v>
      </c>
      <c r="L545" s="15">
        <v>2020</v>
      </c>
      <c r="M545" s="16">
        <v>247662</v>
      </c>
      <c r="N545" s="20">
        <v>41529</v>
      </c>
      <c r="O545" s="20">
        <v>41529</v>
      </c>
    </row>
    <row r="546" spans="1:15">
      <c r="A546" s="17">
        <v>2013</v>
      </c>
      <c r="B546" s="18" t="s">
        <v>481</v>
      </c>
      <c r="C546" s="18" t="s">
        <v>482</v>
      </c>
      <c r="D546" s="19">
        <v>3206092</v>
      </c>
      <c r="E546" s="19">
        <v>2</v>
      </c>
      <c r="F546" s="19"/>
      <c r="G546" s="19">
        <v>880</v>
      </c>
      <c r="H546" s="19">
        <v>14.1</v>
      </c>
      <c r="I546" s="19"/>
      <c r="J546" s="19" t="s">
        <v>154</v>
      </c>
      <c r="K546" s="19" t="b">
        <v>1</v>
      </c>
      <c r="L546" s="15">
        <v>2018</v>
      </c>
      <c r="M546" s="16">
        <v>600000</v>
      </c>
      <c r="N546" s="20">
        <v>41529</v>
      </c>
      <c r="O546" s="20">
        <v>41529</v>
      </c>
    </row>
    <row r="547" spans="1:15">
      <c r="A547" s="17">
        <v>2013</v>
      </c>
      <c r="B547" s="18" t="s">
        <v>481</v>
      </c>
      <c r="C547" s="18" t="s">
        <v>482</v>
      </c>
      <c r="D547" s="19">
        <v>3206092</v>
      </c>
      <c r="E547" s="19">
        <v>2</v>
      </c>
      <c r="F547" s="19"/>
      <c r="G547" s="19">
        <v>20</v>
      </c>
      <c r="H547" s="19">
        <v>1.1000000000000001</v>
      </c>
      <c r="I547" s="19"/>
      <c r="J547" s="19" t="s">
        <v>43</v>
      </c>
      <c r="K547" s="19" t="b">
        <v>1</v>
      </c>
      <c r="L547" s="15">
        <v>2019</v>
      </c>
      <c r="M547" s="16">
        <v>18468748</v>
      </c>
      <c r="N547" s="20">
        <v>41529</v>
      </c>
      <c r="O547" s="20">
        <v>41529</v>
      </c>
    </row>
    <row r="548" spans="1:15">
      <c r="A548" s="17">
        <v>2013</v>
      </c>
      <c r="B548" s="18" t="s">
        <v>481</v>
      </c>
      <c r="C548" s="18" t="s">
        <v>482</v>
      </c>
      <c r="D548" s="19">
        <v>3206092</v>
      </c>
      <c r="E548" s="19">
        <v>2</v>
      </c>
      <c r="F548" s="19"/>
      <c r="G548" s="19">
        <v>30</v>
      </c>
      <c r="H548" s="19" t="s">
        <v>44</v>
      </c>
      <c r="I548" s="19"/>
      <c r="J548" s="19" t="s">
        <v>45</v>
      </c>
      <c r="K548" s="19" t="b">
        <v>1</v>
      </c>
      <c r="L548" s="15">
        <v>2021</v>
      </c>
      <c r="M548" s="16">
        <v>1773000</v>
      </c>
      <c r="N548" s="20">
        <v>41529</v>
      </c>
      <c r="O548" s="20">
        <v>41529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workbookViewId="0">
      <selection activeCell="R4" sqref="R4:R98"/>
    </sheetView>
  </sheetViews>
  <sheetFormatPr defaultRowHeight="14.25"/>
  <cols>
    <col min="1" max="1" width="9" style="22"/>
    <col min="2" max="2" width="12.5" style="22" customWidth="1"/>
    <col min="3" max="3" width="19.75" style="22" customWidth="1"/>
    <col min="4" max="6" width="9" style="22"/>
    <col min="7" max="7" width="6.25" style="22" customWidth="1"/>
    <col min="8" max="8" width="6.875" style="22" customWidth="1"/>
    <col min="9" max="9" width="11.25" style="22" customWidth="1"/>
    <col min="10" max="10" width="13.5" style="22" bestFit="1" customWidth="1"/>
    <col min="11" max="12" width="9" style="22"/>
    <col min="13" max="16" width="16.875" style="22" customWidth="1"/>
    <col min="17" max="16384" width="9" style="22"/>
  </cols>
  <sheetData>
    <row r="1" spans="1:18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>
      <c r="A4" s="17">
        <v>2013</v>
      </c>
      <c r="B4" s="18" t="s">
        <v>481</v>
      </c>
      <c r="C4" s="18" t="s">
        <v>482</v>
      </c>
      <c r="D4" s="19">
        <v>3206092</v>
      </c>
      <c r="E4" s="19">
        <v>2</v>
      </c>
      <c r="F4" s="19"/>
      <c r="G4" s="19">
        <v>20</v>
      </c>
      <c r="H4" s="19">
        <v>1.1000000000000001</v>
      </c>
      <c r="I4" s="19"/>
      <c r="J4" s="19" t="s">
        <v>43</v>
      </c>
      <c r="K4" s="19" t="b">
        <v>1</v>
      </c>
      <c r="L4" s="15">
        <v>2013</v>
      </c>
      <c r="M4" s="16">
        <v>13328461.310000001</v>
      </c>
      <c r="N4" s="16">
        <v>14133461.960000001</v>
      </c>
      <c r="O4" s="16">
        <v>15732874.92</v>
      </c>
      <c r="P4" s="16">
        <v>15979638.24</v>
      </c>
      <c r="Q4" s="20">
        <v>41529</v>
      </c>
      <c r="R4" s="20">
        <v>41529</v>
      </c>
    </row>
    <row r="5" spans="1:18">
      <c r="A5" s="17">
        <v>2013</v>
      </c>
      <c r="B5" s="18" t="s">
        <v>481</v>
      </c>
      <c r="C5" s="18" t="s">
        <v>482</v>
      </c>
      <c r="D5" s="19">
        <v>3206092</v>
      </c>
      <c r="E5" s="19">
        <v>2</v>
      </c>
      <c r="F5" s="19"/>
      <c r="G5" s="19">
        <v>540</v>
      </c>
      <c r="H5" s="19" t="s">
        <v>109</v>
      </c>
      <c r="I5" s="19" t="s">
        <v>499</v>
      </c>
      <c r="J5" s="19" t="s">
        <v>110</v>
      </c>
      <c r="K5" s="19" t="b">
        <v>0</v>
      </c>
      <c r="L5" s="15">
        <v>2013</v>
      </c>
      <c r="M5" s="16">
        <v>2.2700000000000001E-2</v>
      </c>
      <c r="N5" s="16">
        <v>0.21060000000000001</v>
      </c>
      <c r="O5" s="16">
        <v>0.22370000000000001</v>
      </c>
      <c r="P5" s="16">
        <v>7.6100000000000001E-2</v>
      </c>
      <c r="Q5" s="20">
        <v>41529</v>
      </c>
      <c r="R5" s="20">
        <v>41529</v>
      </c>
    </row>
    <row r="6" spans="1:18">
      <c r="A6" s="17">
        <v>2013</v>
      </c>
      <c r="B6" s="18" t="s">
        <v>481</v>
      </c>
      <c r="C6" s="18" t="s">
        <v>482</v>
      </c>
      <c r="D6" s="19">
        <v>3206092</v>
      </c>
      <c r="E6" s="19">
        <v>2</v>
      </c>
      <c r="F6" s="19"/>
      <c r="G6" s="19">
        <v>720</v>
      </c>
      <c r="H6" s="19" t="s">
        <v>133</v>
      </c>
      <c r="I6" s="19"/>
      <c r="J6" s="19" t="s">
        <v>134</v>
      </c>
      <c r="K6" s="19" t="b">
        <v>0</v>
      </c>
      <c r="L6" s="15">
        <v>2013</v>
      </c>
      <c r="M6" s="16">
        <v>0</v>
      </c>
      <c r="N6" s="16">
        <v>0</v>
      </c>
      <c r="O6" s="16">
        <v>0</v>
      </c>
      <c r="P6" s="16">
        <v>0</v>
      </c>
      <c r="Q6" s="20">
        <v>41529</v>
      </c>
      <c r="R6" s="20">
        <v>41529</v>
      </c>
    </row>
    <row r="7" spans="1:18">
      <c r="A7" s="17">
        <v>2013</v>
      </c>
      <c r="B7" s="18" t="s">
        <v>481</v>
      </c>
      <c r="C7" s="18" t="s">
        <v>482</v>
      </c>
      <c r="D7" s="19">
        <v>3206092</v>
      </c>
      <c r="E7" s="19">
        <v>2</v>
      </c>
      <c r="F7" s="19"/>
      <c r="G7" s="19">
        <v>100</v>
      </c>
      <c r="H7" s="19" t="s">
        <v>57</v>
      </c>
      <c r="I7" s="19"/>
      <c r="J7" s="19" t="s">
        <v>58</v>
      </c>
      <c r="K7" s="19" t="b">
        <v>1</v>
      </c>
      <c r="L7" s="15">
        <v>2013</v>
      </c>
      <c r="M7" s="16">
        <v>92937.99</v>
      </c>
      <c r="N7" s="16">
        <v>125090.2</v>
      </c>
      <c r="O7" s="16">
        <v>260000</v>
      </c>
      <c r="P7" s="16">
        <v>195725.78</v>
      </c>
      <c r="Q7" s="20">
        <v>41529</v>
      </c>
      <c r="R7" s="20">
        <v>41529</v>
      </c>
    </row>
    <row r="8" spans="1:18">
      <c r="A8" s="17">
        <v>2013</v>
      </c>
      <c r="B8" s="18" t="s">
        <v>481</v>
      </c>
      <c r="C8" s="18" t="s">
        <v>482</v>
      </c>
      <c r="D8" s="19">
        <v>3206092</v>
      </c>
      <c r="E8" s="19">
        <v>2</v>
      </c>
      <c r="F8" s="19"/>
      <c r="G8" s="19">
        <v>440</v>
      </c>
      <c r="H8" s="19">
        <v>9</v>
      </c>
      <c r="I8" s="19"/>
      <c r="J8" s="19" t="s">
        <v>180</v>
      </c>
      <c r="K8" s="19" t="b">
        <v>0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41529</v>
      </c>
      <c r="R8" s="20">
        <v>41529</v>
      </c>
    </row>
    <row r="9" spans="1:18">
      <c r="A9" s="17">
        <v>2013</v>
      </c>
      <c r="B9" s="18" t="s">
        <v>481</v>
      </c>
      <c r="C9" s="18" t="s">
        <v>482</v>
      </c>
      <c r="D9" s="19">
        <v>3206092</v>
      </c>
      <c r="E9" s="19">
        <v>2</v>
      </c>
      <c r="F9" s="19"/>
      <c r="G9" s="19">
        <v>820</v>
      </c>
      <c r="H9" s="19">
        <v>13.3</v>
      </c>
      <c r="I9" s="19"/>
      <c r="J9" s="19" t="s">
        <v>148</v>
      </c>
      <c r="K9" s="19" t="b">
        <v>1</v>
      </c>
      <c r="L9" s="15">
        <v>2013</v>
      </c>
      <c r="M9" s="16">
        <v>0</v>
      </c>
      <c r="N9" s="16">
        <v>0</v>
      </c>
      <c r="O9" s="16">
        <v>0</v>
      </c>
      <c r="P9" s="16">
        <v>0</v>
      </c>
      <c r="Q9" s="20">
        <v>41529</v>
      </c>
      <c r="R9" s="20">
        <v>41529</v>
      </c>
    </row>
    <row r="10" spans="1:18">
      <c r="A10" s="17">
        <v>2013</v>
      </c>
      <c r="B10" s="18" t="s">
        <v>481</v>
      </c>
      <c r="C10" s="18" t="s">
        <v>482</v>
      </c>
      <c r="D10" s="19">
        <v>3206092</v>
      </c>
      <c r="E10" s="19">
        <v>2</v>
      </c>
      <c r="F10" s="19"/>
      <c r="G10" s="19">
        <v>600</v>
      </c>
      <c r="H10" s="19">
        <v>11.3</v>
      </c>
      <c r="I10" s="19" t="s">
        <v>503</v>
      </c>
      <c r="J10" s="19" t="s">
        <v>116</v>
      </c>
      <c r="K10" s="19" t="b">
        <v>1</v>
      </c>
      <c r="L10" s="15">
        <v>2013</v>
      </c>
      <c r="M10" s="16">
        <v>0</v>
      </c>
      <c r="N10" s="16">
        <v>8891064.8800000008</v>
      </c>
      <c r="O10" s="16">
        <v>3394607</v>
      </c>
      <c r="P10" s="16">
        <v>0</v>
      </c>
      <c r="Q10" s="20">
        <v>41529</v>
      </c>
      <c r="R10" s="20">
        <v>41529</v>
      </c>
    </row>
    <row r="11" spans="1:18">
      <c r="A11" s="17">
        <v>2013</v>
      </c>
      <c r="B11" s="18" t="s">
        <v>481</v>
      </c>
      <c r="C11" s="18" t="s">
        <v>482</v>
      </c>
      <c r="D11" s="19">
        <v>3206092</v>
      </c>
      <c r="E11" s="19">
        <v>2</v>
      </c>
      <c r="F11" s="19"/>
      <c r="G11" s="19">
        <v>60</v>
      </c>
      <c r="H11" s="19" t="s">
        <v>50</v>
      </c>
      <c r="I11" s="19"/>
      <c r="J11" s="19" t="s">
        <v>51</v>
      </c>
      <c r="K11" s="19" t="b">
        <v>1</v>
      </c>
      <c r="L11" s="15">
        <v>2013</v>
      </c>
      <c r="M11" s="16">
        <v>1992817.36</v>
      </c>
      <c r="N11" s="16">
        <v>1975049.77</v>
      </c>
      <c r="O11" s="16">
        <v>0</v>
      </c>
      <c r="P11" s="16">
        <v>2196048.63</v>
      </c>
      <c r="Q11" s="20">
        <v>41529</v>
      </c>
      <c r="R11" s="20">
        <v>41529</v>
      </c>
    </row>
    <row r="12" spans="1:18">
      <c r="A12" s="17">
        <v>2013</v>
      </c>
      <c r="B12" s="18" t="s">
        <v>481</v>
      </c>
      <c r="C12" s="18" t="s">
        <v>482</v>
      </c>
      <c r="D12" s="19">
        <v>3206092</v>
      </c>
      <c r="E12" s="19">
        <v>2</v>
      </c>
      <c r="F12" s="19"/>
      <c r="G12" s="19">
        <v>290</v>
      </c>
      <c r="H12" s="19" t="s">
        <v>82</v>
      </c>
      <c r="I12" s="19"/>
      <c r="J12" s="19" t="s">
        <v>78</v>
      </c>
      <c r="K12" s="19" t="b">
        <v>0</v>
      </c>
      <c r="L12" s="15">
        <v>2013</v>
      </c>
      <c r="M12" s="16">
        <v>0</v>
      </c>
      <c r="N12" s="16">
        <v>0</v>
      </c>
      <c r="O12" s="16">
        <v>0</v>
      </c>
      <c r="P12" s="16">
        <v>0</v>
      </c>
      <c r="Q12" s="20">
        <v>41529</v>
      </c>
      <c r="R12" s="20">
        <v>41529</v>
      </c>
    </row>
    <row r="13" spans="1:18">
      <c r="A13" s="17">
        <v>2013</v>
      </c>
      <c r="B13" s="18" t="s">
        <v>481</v>
      </c>
      <c r="C13" s="18" t="s">
        <v>482</v>
      </c>
      <c r="D13" s="19">
        <v>3206092</v>
      </c>
      <c r="E13" s="19">
        <v>2</v>
      </c>
      <c r="F13" s="19"/>
      <c r="G13" s="19">
        <v>920</v>
      </c>
      <c r="H13" s="19" t="s">
        <v>159</v>
      </c>
      <c r="I13" s="19"/>
      <c r="J13" s="19" t="s">
        <v>160</v>
      </c>
      <c r="K13" s="19" t="b">
        <v>1</v>
      </c>
      <c r="L13" s="15">
        <v>2013</v>
      </c>
      <c r="M13" s="16">
        <v>0</v>
      </c>
      <c r="N13" s="16">
        <v>0</v>
      </c>
      <c r="O13" s="16">
        <v>9850</v>
      </c>
      <c r="P13" s="16">
        <v>9850</v>
      </c>
      <c r="Q13" s="20">
        <v>41529</v>
      </c>
      <c r="R13" s="20">
        <v>41529</v>
      </c>
    </row>
    <row r="14" spans="1:18">
      <c r="A14" s="17">
        <v>2013</v>
      </c>
      <c r="B14" s="18" t="s">
        <v>481</v>
      </c>
      <c r="C14" s="18" t="s">
        <v>482</v>
      </c>
      <c r="D14" s="19">
        <v>3206092</v>
      </c>
      <c r="E14" s="19">
        <v>2</v>
      </c>
      <c r="F14" s="19"/>
      <c r="G14" s="19">
        <v>50</v>
      </c>
      <c r="H14" s="19" t="s">
        <v>48</v>
      </c>
      <c r="I14" s="19"/>
      <c r="J14" s="19" t="s">
        <v>49</v>
      </c>
      <c r="K14" s="19" t="b">
        <v>1</v>
      </c>
      <c r="L14" s="15">
        <v>2013</v>
      </c>
      <c r="M14" s="16">
        <v>3210835.44</v>
      </c>
      <c r="N14" s="16">
        <v>3313649.1</v>
      </c>
      <c r="O14" s="16">
        <v>0</v>
      </c>
      <c r="P14" s="16">
        <v>3971720.7</v>
      </c>
      <c r="Q14" s="20">
        <v>41529</v>
      </c>
      <c r="R14" s="20">
        <v>41529</v>
      </c>
    </row>
    <row r="15" spans="1:18">
      <c r="A15" s="17">
        <v>2013</v>
      </c>
      <c r="B15" s="18" t="s">
        <v>481</v>
      </c>
      <c r="C15" s="18" t="s">
        <v>482</v>
      </c>
      <c r="D15" s="19">
        <v>3206092</v>
      </c>
      <c r="E15" s="19">
        <v>2</v>
      </c>
      <c r="F15" s="19"/>
      <c r="G15" s="19">
        <v>680</v>
      </c>
      <c r="H15" s="19" t="s">
        <v>126</v>
      </c>
      <c r="I15" s="19"/>
      <c r="J15" s="19" t="s">
        <v>127</v>
      </c>
      <c r="K15" s="19" t="b">
        <v>1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41529</v>
      </c>
      <c r="R15" s="20">
        <v>41529</v>
      </c>
    </row>
    <row r="16" spans="1:18">
      <c r="A16" s="17">
        <v>2013</v>
      </c>
      <c r="B16" s="18" t="s">
        <v>481</v>
      </c>
      <c r="C16" s="18" t="s">
        <v>482</v>
      </c>
      <c r="D16" s="19">
        <v>3206092</v>
      </c>
      <c r="E16" s="19">
        <v>2</v>
      </c>
      <c r="F16" s="19"/>
      <c r="G16" s="19">
        <v>470</v>
      </c>
      <c r="H16" s="19">
        <v>9.3000000000000007</v>
      </c>
      <c r="I16" s="19" t="s">
        <v>489</v>
      </c>
      <c r="J16" s="19" t="s">
        <v>490</v>
      </c>
      <c r="K16" s="19" t="b">
        <v>1</v>
      </c>
      <c r="L16" s="15">
        <v>2013</v>
      </c>
      <c r="M16" s="16">
        <v>2.2700000000000001E-2</v>
      </c>
      <c r="N16" s="16">
        <v>0.21060000000000001</v>
      </c>
      <c r="O16" s="16">
        <v>0.22370000000000001</v>
      </c>
      <c r="P16" s="16">
        <v>0.2218</v>
      </c>
      <c r="Q16" s="20">
        <v>41529</v>
      </c>
      <c r="R16" s="20">
        <v>41529</v>
      </c>
    </row>
    <row r="17" spans="1:18">
      <c r="A17" s="17">
        <v>2013</v>
      </c>
      <c r="B17" s="18" t="s">
        <v>481</v>
      </c>
      <c r="C17" s="18" t="s">
        <v>482</v>
      </c>
      <c r="D17" s="19">
        <v>3206092</v>
      </c>
      <c r="E17" s="19">
        <v>2</v>
      </c>
      <c r="F17" s="19"/>
      <c r="G17" s="19">
        <v>800</v>
      </c>
      <c r="H17" s="19">
        <v>13.1</v>
      </c>
      <c r="I17" s="19"/>
      <c r="J17" s="19" t="s">
        <v>146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41529</v>
      </c>
      <c r="R17" s="20">
        <v>41529</v>
      </c>
    </row>
    <row r="18" spans="1:18">
      <c r="A18" s="17">
        <v>2013</v>
      </c>
      <c r="B18" s="18" t="s">
        <v>481</v>
      </c>
      <c r="C18" s="18" t="s">
        <v>482</v>
      </c>
      <c r="D18" s="19">
        <v>3206092</v>
      </c>
      <c r="E18" s="19">
        <v>2</v>
      </c>
      <c r="F18" s="19"/>
      <c r="G18" s="19">
        <v>810</v>
      </c>
      <c r="H18" s="19">
        <v>13.2</v>
      </c>
      <c r="I18" s="19"/>
      <c r="J18" s="19" t="s">
        <v>147</v>
      </c>
      <c r="K18" s="19" t="b">
        <v>1</v>
      </c>
      <c r="L18" s="15">
        <v>2013</v>
      </c>
      <c r="M18" s="16">
        <v>0</v>
      </c>
      <c r="N18" s="16">
        <v>0</v>
      </c>
      <c r="O18" s="16">
        <v>0</v>
      </c>
      <c r="P18" s="16">
        <v>0</v>
      </c>
      <c r="Q18" s="20">
        <v>41529</v>
      </c>
      <c r="R18" s="20">
        <v>41529</v>
      </c>
    </row>
    <row r="19" spans="1:18">
      <c r="A19" s="17">
        <v>2013</v>
      </c>
      <c r="B19" s="18" t="s">
        <v>481</v>
      </c>
      <c r="C19" s="18" t="s">
        <v>482</v>
      </c>
      <c r="D19" s="19">
        <v>3206092</v>
      </c>
      <c r="E19" s="19">
        <v>2</v>
      </c>
      <c r="F19" s="19"/>
      <c r="G19" s="19">
        <v>690</v>
      </c>
      <c r="H19" s="19" t="s">
        <v>128</v>
      </c>
      <c r="I19" s="19"/>
      <c r="J19" s="19" t="s">
        <v>129</v>
      </c>
      <c r="K19" s="19" t="b">
        <v>1</v>
      </c>
      <c r="L19" s="15">
        <v>2013</v>
      </c>
      <c r="M19" s="16">
        <v>0</v>
      </c>
      <c r="N19" s="16">
        <v>0</v>
      </c>
      <c r="O19" s="16">
        <v>0</v>
      </c>
      <c r="P19" s="16">
        <v>0</v>
      </c>
      <c r="Q19" s="20">
        <v>41529</v>
      </c>
      <c r="R19" s="20">
        <v>41529</v>
      </c>
    </row>
    <row r="20" spans="1:18">
      <c r="A20" s="17">
        <v>2013</v>
      </c>
      <c r="B20" s="18" t="s">
        <v>481</v>
      </c>
      <c r="C20" s="18" t="s">
        <v>482</v>
      </c>
      <c r="D20" s="19">
        <v>3206092</v>
      </c>
      <c r="E20" s="19">
        <v>2</v>
      </c>
      <c r="F20" s="19"/>
      <c r="G20" s="19">
        <v>590</v>
      </c>
      <c r="H20" s="19">
        <v>11.2</v>
      </c>
      <c r="I20" s="19"/>
      <c r="J20" s="19" t="s">
        <v>115</v>
      </c>
      <c r="K20" s="19" t="b">
        <v>1</v>
      </c>
      <c r="L20" s="15">
        <v>2013</v>
      </c>
      <c r="M20" s="16">
        <v>2273739.15</v>
      </c>
      <c r="N20" s="16">
        <v>2353079.52</v>
      </c>
      <c r="O20" s="16">
        <v>0</v>
      </c>
      <c r="P20" s="16">
        <v>2586844.9700000002</v>
      </c>
      <c r="Q20" s="20">
        <v>41529</v>
      </c>
      <c r="R20" s="20">
        <v>41529</v>
      </c>
    </row>
    <row r="21" spans="1:18">
      <c r="A21" s="17">
        <v>2013</v>
      </c>
      <c r="B21" s="18" t="s">
        <v>481</v>
      </c>
      <c r="C21" s="18" t="s">
        <v>482</v>
      </c>
      <c r="D21" s="19">
        <v>3206092</v>
      </c>
      <c r="E21" s="19">
        <v>2</v>
      </c>
      <c r="F21" s="19"/>
      <c r="G21" s="19">
        <v>160</v>
      </c>
      <c r="H21" s="19" t="s">
        <v>66</v>
      </c>
      <c r="I21" s="19"/>
      <c r="J21" s="19" t="s">
        <v>67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41529</v>
      </c>
      <c r="R21" s="20">
        <v>41529</v>
      </c>
    </row>
    <row r="22" spans="1:18">
      <c r="A22" s="17">
        <v>2013</v>
      </c>
      <c r="B22" s="18" t="s">
        <v>481</v>
      </c>
      <c r="C22" s="18" t="s">
        <v>482</v>
      </c>
      <c r="D22" s="19">
        <v>3206092</v>
      </c>
      <c r="E22" s="19">
        <v>2</v>
      </c>
      <c r="F22" s="19"/>
      <c r="G22" s="19">
        <v>930</v>
      </c>
      <c r="H22" s="19" t="s">
        <v>161</v>
      </c>
      <c r="I22" s="19"/>
      <c r="J22" s="19" t="s">
        <v>162</v>
      </c>
      <c r="K22" s="19" t="b">
        <v>1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41529</v>
      </c>
      <c r="R22" s="20">
        <v>41529</v>
      </c>
    </row>
    <row r="23" spans="1:18">
      <c r="A23" s="17">
        <v>2013</v>
      </c>
      <c r="B23" s="18" t="s">
        <v>481</v>
      </c>
      <c r="C23" s="18" t="s">
        <v>482</v>
      </c>
      <c r="D23" s="19">
        <v>3206092</v>
      </c>
      <c r="E23" s="19">
        <v>2</v>
      </c>
      <c r="F23" s="19"/>
      <c r="G23" s="19">
        <v>400</v>
      </c>
      <c r="H23" s="19">
        <v>7</v>
      </c>
      <c r="I23" s="19"/>
      <c r="J23" s="19" t="s">
        <v>95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41529</v>
      </c>
      <c r="R23" s="20">
        <v>41529</v>
      </c>
    </row>
    <row r="24" spans="1:18">
      <c r="A24" s="17">
        <v>2013</v>
      </c>
      <c r="B24" s="18" t="s">
        <v>481</v>
      </c>
      <c r="C24" s="18" t="s">
        <v>482</v>
      </c>
      <c r="D24" s="19">
        <v>3206092</v>
      </c>
      <c r="E24" s="19">
        <v>2</v>
      </c>
      <c r="F24" s="19"/>
      <c r="G24" s="19">
        <v>410</v>
      </c>
      <c r="H24" s="19">
        <v>8</v>
      </c>
      <c r="I24" s="19"/>
      <c r="J24" s="19" t="s">
        <v>177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41529</v>
      </c>
      <c r="R24" s="20">
        <v>41529</v>
      </c>
    </row>
    <row r="25" spans="1:18">
      <c r="A25" s="17">
        <v>2013</v>
      </c>
      <c r="B25" s="18" t="s">
        <v>481</v>
      </c>
      <c r="C25" s="18" t="s">
        <v>482</v>
      </c>
      <c r="D25" s="19">
        <v>3206092</v>
      </c>
      <c r="E25" s="19">
        <v>2</v>
      </c>
      <c r="F25" s="19"/>
      <c r="G25" s="19">
        <v>430</v>
      </c>
      <c r="H25" s="19">
        <v>8.1999999999999993</v>
      </c>
      <c r="I25" s="19" t="s">
        <v>483</v>
      </c>
      <c r="J25" s="19" t="s">
        <v>97</v>
      </c>
      <c r="K25" s="19" t="b">
        <v>0</v>
      </c>
      <c r="L25" s="15">
        <v>2013</v>
      </c>
      <c r="M25" s="16">
        <v>-855227.29</v>
      </c>
      <c r="N25" s="16">
        <v>12274.48</v>
      </c>
      <c r="O25" s="16">
        <v>2094138</v>
      </c>
      <c r="P25" s="16">
        <v>2745681.55</v>
      </c>
      <c r="Q25" s="20">
        <v>41529</v>
      </c>
      <c r="R25" s="20">
        <v>41529</v>
      </c>
    </row>
    <row r="26" spans="1:18">
      <c r="A26" s="17">
        <v>2013</v>
      </c>
      <c r="B26" s="18" t="s">
        <v>481</v>
      </c>
      <c r="C26" s="18" t="s">
        <v>482</v>
      </c>
      <c r="D26" s="19">
        <v>3206092</v>
      </c>
      <c r="E26" s="19">
        <v>2</v>
      </c>
      <c r="F26" s="19"/>
      <c r="G26" s="19">
        <v>280</v>
      </c>
      <c r="H26" s="19">
        <v>4.4000000000000004</v>
      </c>
      <c r="I26" s="19"/>
      <c r="J26" s="19" t="s">
        <v>81</v>
      </c>
      <c r="K26" s="19" t="b">
        <v>0</v>
      </c>
      <c r="L26" s="15">
        <v>2013</v>
      </c>
      <c r="M26" s="16">
        <v>0</v>
      </c>
      <c r="N26" s="16">
        <v>0</v>
      </c>
      <c r="O26" s="16">
        <v>0</v>
      </c>
      <c r="P26" s="16">
        <v>0</v>
      </c>
      <c r="Q26" s="20">
        <v>41529</v>
      </c>
      <c r="R26" s="20">
        <v>41529</v>
      </c>
    </row>
    <row r="27" spans="1:18">
      <c r="A27" s="17">
        <v>2013</v>
      </c>
      <c r="B27" s="18" t="s">
        <v>481</v>
      </c>
      <c r="C27" s="18" t="s">
        <v>482</v>
      </c>
      <c r="D27" s="19">
        <v>3206092</v>
      </c>
      <c r="E27" s="19">
        <v>2</v>
      </c>
      <c r="F27" s="19"/>
      <c r="G27" s="19">
        <v>270</v>
      </c>
      <c r="H27" s="19" t="s">
        <v>80</v>
      </c>
      <c r="I27" s="19"/>
      <c r="J27" s="19" t="s">
        <v>78</v>
      </c>
      <c r="K27" s="19" t="b">
        <v>1</v>
      </c>
      <c r="L27" s="15">
        <v>2013</v>
      </c>
      <c r="M27" s="16">
        <v>0</v>
      </c>
      <c r="N27" s="16">
        <v>0</v>
      </c>
      <c r="O27" s="16">
        <v>2143366</v>
      </c>
      <c r="P27" s="16">
        <v>0</v>
      </c>
      <c r="Q27" s="20">
        <v>41529</v>
      </c>
      <c r="R27" s="20">
        <v>41529</v>
      </c>
    </row>
    <row r="28" spans="1:18">
      <c r="A28" s="17">
        <v>2013</v>
      </c>
      <c r="B28" s="18" t="s">
        <v>481</v>
      </c>
      <c r="C28" s="18" t="s">
        <v>482</v>
      </c>
      <c r="D28" s="19">
        <v>3206092</v>
      </c>
      <c r="E28" s="19">
        <v>2</v>
      </c>
      <c r="F28" s="19"/>
      <c r="G28" s="19">
        <v>660</v>
      </c>
      <c r="H28" s="19">
        <v>12</v>
      </c>
      <c r="I28" s="19"/>
      <c r="J28" s="19" t="s">
        <v>124</v>
      </c>
      <c r="K28" s="19" t="b">
        <v>1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41529</v>
      </c>
      <c r="R28" s="20">
        <v>41529</v>
      </c>
    </row>
    <row r="29" spans="1:18">
      <c r="A29" s="17">
        <v>2013</v>
      </c>
      <c r="B29" s="18" t="s">
        <v>481</v>
      </c>
      <c r="C29" s="18" t="s">
        <v>482</v>
      </c>
      <c r="D29" s="19">
        <v>3206092</v>
      </c>
      <c r="E29" s="19">
        <v>2</v>
      </c>
      <c r="F29" s="19"/>
      <c r="G29" s="19">
        <v>370</v>
      </c>
      <c r="H29" s="19" t="s">
        <v>91</v>
      </c>
      <c r="I29" s="19"/>
      <c r="J29" s="19" t="s">
        <v>92</v>
      </c>
      <c r="K29" s="19" t="b">
        <v>1</v>
      </c>
      <c r="L29" s="15">
        <v>2013</v>
      </c>
      <c r="M29" s="16">
        <v>0</v>
      </c>
      <c r="N29" s="16">
        <v>6480664</v>
      </c>
      <c r="O29" s="16">
        <v>3862354.56</v>
      </c>
      <c r="P29" s="16">
        <v>3110928.58</v>
      </c>
      <c r="Q29" s="20">
        <v>41529</v>
      </c>
      <c r="R29" s="20">
        <v>41529</v>
      </c>
    </row>
    <row r="30" spans="1:18">
      <c r="A30" s="17">
        <v>2013</v>
      </c>
      <c r="B30" s="18" t="s">
        <v>481</v>
      </c>
      <c r="C30" s="18" t="s">
        <v>482</v>
      </c>
      <c r="D30" s="19">
        <v>3206092</v>
      </c>
      <c r="E30" s="19">
        <v>2</v>
      </c>
      <c r="F30" s="19"/>
      <c r="G30" s="19">
        <v>505</v>
      </c>
      <c r="H30" s="19" t="s">
        <v>103</v>
      </c>
      <c r="I30" s="19" t="s">
        <v>485</v>
      </c>
      <c r="J30" s="19" t="s">
        <v>104</v>
      </c>
      <c r="K30" s="19" t="b">
        <v>0</v>
      </c>
      <c r="L30" s="15">
        <v>2013</v>
      </c>
      <c r="M30" s="16">
        <v>-4.6600000000000003E-2</v>
      </c>
      <c r="N30" s="16">
        <v>8.6999999999999994E-3</v>
      </c>
      <c r="O30" s="16">
        <v>9.1000000000000004E-3</v>
      </c>
      <c r="P30" s="16">
        <v>3.8300000000000001E-2</v>
      </c>
      <c r="Q30" s="20">
        <v>41529</v>
      </c>
      <c r="R30" s="20">
        <v>41529</v>
      </c>
    </row>
    <row r="31" spans="1:18">
      <c r="A31" s="17">
        <v>2013</v>
      </c>
      <c r="B31" s="18" t="s">
        <v>481</v>
      </c>
      <c r="C31" s="18" t="s">
        <v>482</v>
      </c>
      <c r="D31" s="19">
        <v>3206092</v>
      </c>
      <c r="E31" s="19">
        <v>2</v>
      </c>
      <c r="F31" s="19"/>
      <c r="G31" s="19">
        <v>840</v>
      </c>
      <c r="H31" s="19">
        <v>13.5</v>
      </c>
      <c r="I31" s="19"/>
      <c r="J31" s="19" t="s">
        <v>150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41529</v>
      </c>
      <c r="R31" s="20">
        <v>41529</v>
      </c>
    </row>
    <row r="32" spans="1:18">
      <c r="A32" s="17">
        <v>2013</v>
      </c>
      <c r="B32" s="18" t="s">
        <v>481</v>
      </c>
      <c r="C32" s="18" t="s">
        <v>482</v>
      </c>
      <c r="D32" s="19">
        <v>3206092</v>
      </c>
      <c r="E32" s="19">
        <v>2</v>
      </c>
      <c r="F32" s="19"/>
      <c r="G32" s="19">
        <v>380</v>
      </c>
      <c r="H32" s="19">
        <v>6.2</v>
      </c>
      <c r="I32" s="19" t="s">
        <v>495</v>
      </c>
      <c r="J32" s="19" t="s">
        <v>93</v>
      </c>
      <c r="K32" s="19" t="b">
        <v>0</v>
      </c>
      <c r="L32" s="15">
        <v>2013</v>
      </c>
      <c r="M32" s="16">
        <v>0.43280000000000002</v>
      </c>
      <c r="N32" s="16">
        <v>0.7954</v>
      </c>
      <c r="O32" s="16">
        <v>0.68930000000000002</v>
      </c>
      <c r="P32" s="16">
        <v>0.67179999999999995</v>
      </c>
      <c r="Q32" s="20">
        <v>41529</v>
      </c>
      <c r="R32" s="20">
        <v>41529</v>
      </c>
    </row>
    <row r="33" spans="1:18">
      <c r="A33" s="17">
        <v>2013</v>
      </c>
      <c r="B33" s="18" t="s">
        <v>481</v>
      </c>
      <c r="C33" s="18" t="s">
        <v>482</v>
      </c>
      <c r="D33" s="19">
        <v>3206092</v>
      </c>
      <c r="E33" s="19">
        <v>2</v>
      </c>
      <c r="F33" s="19"/>
      <c r="G33" s="19">
        <v>500</v>
      </c>
      <c r="H33" s="19">
        <v>9.6</v>
      </c>
      <c r="I33" s="19" t="s">
        <v>488</v>
      </c>
      <c r="J33" s="19" t="s">
        <v>102</v>
      </c>
      <c r="K33" s="19" t="b">
        <v>0</v>
      </c>
      <c r="L33" s="15">
        <v>2013</v>
      </c>
      <c r="M33" s="16">
        <v>2.2700000000000001E-2</v>
      </c>
      <c r="N33" s="16">
        <v>0.21060000000000001</v>
      </c>
      <c r="O33" s="16">
        <v>0.22370000000000001</v>
      </c>
      <c r="P33" s="16">
        <v>7.6100000000000001E-2</v>
      </c>
      <c r="Q33" s="20">
        <v>41529</v>
      </c>
      <c r="R33" s="20">
        <v>41529</v>
      </c>
    </row>
    <row r="34" spans="1:18">
      <c r="A34" s="17">
        <v>2013</v>
      </c>
      <c r="B34" s="18" t="s">
        <v>481</v>
      </c>
      <c r="C34" s="18" t="s">
        <v>482</v>
      </c>
      <c r="D34" s="19">
        <v>3206092</v>
      </c>
      <c r="E34" s="19">
        <v>2</v>
      </c>
      <c r="F34" s="19"/>
      <c r="G34" s="19">
        <v>550</v>
      </c>
      <c r="H34" s="19">
        <v>10</v>
      </c>
      <c r="I34" s="19"/>
      <c r="J34" s="19" t="s">
        <v>111</v>
      </c>
      <c r="K34" s="19" t="b">
        <v>0</v>
      </c>
      <c r="L34" s="15">
        <v>2013</v>
      </c>
      <c r="M34" s="16">
        <v>0</v>
      </c>
      <c r="N34" s="16">
        <v>0</v>
      </c>
      <c r="O34" s="16">
        <v>0</v>
      </c>
      <c r="P34" s="16">
        <v>0</v>
      </c>
      <c r="Q34" s="20">
        <v>41529</v>
      </c>
      <c r="R34" s="20">
        <v>41529</v>
      </c>
    </row>
    <row r="35" spans="1:18">
      <c r="A35" s="17">
        <v>2013</v>
      </c>
      <c r="B35" s="18" t="s">
        <v>481</v>
      </c>
      <c r="C35" s="18" t="s">
        <v>482</v>
      </c>
      <c r="D35" s="19">
        <v>3206092</v>
      </c>
      <c r="E35" s="19">
        <v>2</v>
      </c>
      <c r="F35" s="19"/>
      <c r="G35" s="19">
        <v>70</v>
      </c>
      <c r="H35" s="19" t="s">
        <v>52</v>
      </c>
      <c r="I35" s="19"/>
      <c r="J35" s="19" t="s">
        <v>53</v>
      </c>
      <c r="K35" s="19" t="b">
        <v>1</v>
      </c>
      <c r="L35" s="15">
        <v>2013</v>
      </c>
      <c r="M35" s="16">
        <v>5222259</v>
      </c>
      <c r="N35" s="16">
        <v>5334677</v>
      </c>
      <c r="O35" s="16">
        <v>0</v>
      </c>
      <c r="P35" s="16">
        <v>5863857</v>
      </c>
      <c r="Q35" s="20">
        <v>41529</v>
      </c>
      <c r="R35" s="20">
        <v>41529</v>
      </c>
    </row>
    <row r="36" spans="1:18">
      <c r="A36" s="17">
        <v>2013</v>
      </c>
      <c r="B36" s="18" t="s">
        <v>481</v>
      </c>
      <c r="C36" s="18" t="s">
        <v>482</v>
      </c>
      <c r="D36" s="19">
        <v>3206092</v>
      </c>
      <c r="E36" s="19">
        <v>2</v>
      </c>
      <c r="F36" s="19"/>
      <c r="G36" s="19">
        <v>150</v>
      </c>
      <c r="H36" s="19" t="s">
        <v>64</v>
      </c>
      <c r="I36" s="19"/>
      <c r="J36" s="19" t="s">
        <v>65</v>
      </c>
      <c r="K36" s="19" t="b">
        <v>1</v>
      </c>
      <c r="L36" s="15">
        <v>2013</v>
      </c>
      <c r="M36" s="16">
        <v>0</v>
      </c>
      <c r="N36" s="16">
        <v>0</v>
      </c>
      <c r="O36" s="16">
        <v>0</v>
      </c>
      <c r="P36" s="16">
        <v>0</v>
      </c>
      <c r="Q36" s="20">
        <v>41529</v>
      </c>
      <c r="R36" s="20">
        <v>41529</v>
      </c>
    </row>
    <row r="37" spans="1:18">
      <c r="A37" s="17">
        <v>2013</v>
      </c>
      <c r="B37" s="18" t="s">
        <v>481</v>
      </c>
      <c r="C37" s="18" t="s">
        <v>482</v>
      </c>
      <c r="D37" s="19">
        <v>3206092</v>
      </c>
      <c r="E37" s="19">
        <v>2</v>
      </c>
      <c r="F37" s="19"/>
      <c r="G37" s="19">
        <v>860</v>
      </c>
      <c r="H37" s="19">
        <v>13.7</v>
      </c>
      <c r="I37" s="19"/>
      <c r="J37" s="19" t="s">
        <v>152</v>
      </c>
      <c r="K37" s="19" t="b">
        <v>1</v>
      </c>
      <c r="L37" s="15">
        <v>2013</v>
      </c>
      <c r="M37" s="16">
        <v>0</v>
      </c>
      <c r="N37" s="16">
        <v>0</v>
      </c>
      <c r="O37" s="16">
        <v>0</v>
      </c>
      <c r="P37" s="16">
        <v>0</v>
      </c>
      <c r="Q37" s="20">
        <v>41529</v>
      </c>
      <c r="R37" s="20">
        <v>41529</v>
      </c>
    </row>
    <row r="38" spans="1:18">
      <c r="A38" s="17">
        <v>2013</v>
      </c>
      <c r="B38" s="18" t="s">
        <v>481</v>
      </c>
      <c r="C38" s="18" t="s">
        <v>482</v>
      </c>
      <c r="D38" s="19">
        <v>3206092</v>
      </c>
      <c r="E38" s="19">
        <v>2</v>
      </c>
      <c r="F38" s="19"/>
      <c r="G38" s="19">
        <v>320</v>
      </c>
      <c r="H38" s="19" t="s">
        <v>85</v>
      </c>
      <c r="I38" s="19"/>
      <c r="J38" s="19" t="s">
        <v>501</v>
      </c>
      <c r="K38" s="19" t="b">
        <v>1</v>
      </c>
      <c r="L38" s="15">
        <v>2013</v>
      </c>
      <c r="M38" s="16">
        <v>0</v>
      </c>
      <c r="N38" s="16">
        <v>0</v>
      </c>
      <c r="O38" s="16">
        <v>0</v>
      </c>
      <c r="P38" s="16">
        <v>2698000</v>
      </c>
      <c r="Q38" s="20">
        <v>41529</v>
      </c>
      <c r="R38" s="20">
        <v>41529</v>
      </c>
    </row>
    <row r="39" spans="1:18">
      <c r="A39" s="17">
        <v>2013</v>
      </c>
      <c r="B39" s="18" t="s">
        <v>481</v>
      </c>
      <c r="C39" s="18" t="s">
        <v>482</v>
      </c>
      <c r="D39" s="19">
        <v>3206092</v>
      </c>
      <c r="E39" s="19">
        <v>2</v>
      </c>
      <c r="F39" s="19"/>
      <c r="G39" s="19">
        <v>700</v>
      </c>
      <c r="H39" s="19">
        <v>12.2</v>
      </c>
      <c r="I39" s="19"/>
      <c r="J39" s="19" t="s">
        <v>130</v>
      </c>
      <c r="K39" s="19" t="b">
        <v>0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41529</v>
      </c>
      <c r="R39" s="20">
        <v>41529</v>
      </c>
    </row>
    <row r="40" spans="1:18">
      <c r="A40" s="17">
        <v>2013</v>
      </c>
      <c r="B40" s="18" t="s">
        <v>481</v>
      </c>
      <c r="C40" s="18" t="s">
        <v>482</v>
      </c>
      <c r="D40" s="19">
        <v>3206092</v>
      </c>
      <c r="E40" s="19">
        <v>2</v>
      </c>
      <c r="F40" s="19"/>
      <c r="G40" s="19">
        <v>620</v>
      </c>
      <c r="H40" s="19" t="s">
        <v>119</v>
      </c>
      <c r="I40" s="19"/>
      <c r="J40" s="19" t="s">
        <v>120</v>
      </c>
      <c r="K40" s="19" t="b">
        <v>1</v>
      </c>
      <c r="L40" s="15">
        <v>2013</v>
      </c>
      <c r="M40" s="16">
        <v>0</v>
      </c>
      <c r="N40" s="16">
        <v>8125692</v>
      </c>
      <c r="O40" s="16">
        <v>2495502</v>
      </c>
      <c r="P40" s="16">
        <v>0</v>
      </c>
      <c r="Q40" s="20">
        <v>41529</v>
      </c>
      <c r="R40" s="20">
        <v>41529</v>
      </c>
    </row>
    <row r="41" spans="1:18">
      <c r="A41" s="17">
        <v>2013</v>
      </c>
      <c r="B41" s="18" t="s">
        <v>481</v>
      </c>
      <c r="C41" s="18" t="s">
        <v>482</v>
      </c>
      <c r="D41" s="19">
        <v>3206092</v>
      </c>
      <c r="E41" s="19">
        <v>2</v>
      </c>
      <c r="F41" s="19"/>
      <c r="G41" s="19">
        <v>910</v>
      </c>
      <c r="H41" s="19" t="s">
        <v>157</v>
      </c>
      <c r="I41" s="19"/>
      <c r="J41" s="19" t="s">
        <v>158</v>
      </c>
      <c r="K41" s="19" t="b">
        <v>1</v>
      </c>
      <c r="L41" s="15">
        <v>2013</v>
      </c>
      <c r="M41" s="16">
        <v>0</v>
      </c>
      <c r="N41" s="16">
        <v>0</v>
      </c>
      <c r="O41" s="16">
        <v>0</v>
      </c>
      <c r="P41" s="16">
        <v>0</v>
      </c>
      <c r="Q41" s="20">
        <v>41529</v>
      </c>
      <c r="R41" s="20">
        <v>41529</v>
      </c>
    </row>
    <row r="42" spans="1:18">
      <c r="A42" s="17">
        <v>2013</v>
      </c>
      <c r="B42" s="18" t="s">
        <v>481</v>
      </c>
      <c r="C42" s="18" t="s">
        <v>482</v>
      </c>
      <c r="D42" s="19">
        <v>3206092</v>
      </c>
      <c r="E42" s="19">
        <v>2</v>
      </c>
      <c r="F42" s="19"/>
      <c r="G42" s="19">
        <v>420</v>
      </c>
      <c r="H42" s="19">
        <v>8.1</v>
      </c>
      <c r="I42" s="19" t="s">
        <v>494</v>
      </c>
      <c r="J42" s="19" t="s">
        <v>96</v>
      </c>
      <c r="K42" s="19" t="b">
        <v>0</v>
      </c>
      <c r="L42" s="15">
        <v>2013</v>
      </c>
      <c r="M42" s="16">
        <v>-855227.29</v>
      </c>
      <c r="N42" s="16">
        <v>12274.48</v>
      </c>
      <c r="O42" s="16">
        <v>-92653</v>
      </c>
      <c r="P42" s="16">
        <v>513374.71</v>
      </c>
      <c r="Q42" s="20">
        <v>41529</v>
      </c>
      <c r="R42" s="20">
        <v>41529</v>
      </c>
    </row>
    <row r="43" spans="1:18">
      <c r="A43" s="17">
        <v>2013</v>
      </c>
      <c r="B43" s="18" t="s">
        <v>481</v>
      </c>
      <c r="C43" s="18" t="s">
        <v>482</v>
      </c>
      <c r="D43" s="19">
        <v>3206092</v>
      </c>
      <c r="E43" s="19">
        <v>2</v>
      </c>
      <c r="F43" s="19"/>
      <c r="G43" s="19">
        <v>330</v>
      </c>
      <c r="H43" s="19" t="s">
        <v>87</v>
      </c>
      <c r="I43" s="19"/>
      <c r="J43" s="19" t="s">
        <v>88</v>
      </c>
      <c r="K43" s="19" t="b">
        <v>1</v>
      </c>
      <c r="L43" s="15">
        <v>2013</v>
      </c>
      <c r="M43" s="16">
        <v>0</v>
      </c>
      <c r="N43" s="16">
        <v>2179658</v>
      </c>
      <c r="O43" s="16">
        <v>2698000</v>
      </c>
      <c r="P43" s="16">
        <v>2698000</v>
      </c>
      <c r="Q43" s="20">
        <v>41529</v>
      </c>
      <c r="R43" s="20">
        <v>41529</v>
      </c>
    </row>
    <row r="44" spans="1:18">
      <c r="A44" s="17">
        <v>2013</v>
      </c>
      <c r="B44" s="18" t="s">
        <v>481</v>
      </c>
      <c r="C44" s="18" t="s">
        <v>482</v>
      </c>
      <c r="D44" s="19">
        <v>3206092</v>
      </c>
      <c r="E44" s="19">
        <v>2</v>
      </c>
      <c r="F44" s="19"/>
      <c r="G44" s="19">
        <v>10</v>
      </c>
      <c r="H44" s="19">
        <v>1</v>
      </c>
      <c r="I44" s="19" t="s">
        <v>491</v>
      </c>
      <c r="J44" s="19" t="s">
        <v>26</v>
      </c>
      <c r="K44" s="19" t="b">
        <v>1</v>
      </c>
      <c r="L44" s="15">
        <v>2013</v>
      </c>
      <c r="M44" s="16">
        <v>16360657.9</v>
      </c>
      <c r="N44" s="16">
        <v>15865865.16</v>
      </c>
      <c r="O44" s="16">
        <v>18420868.920000002</v>
      </c>
      <c r="P44" s="16">
        <v>18510610.399999999</v>
      </c>
      <c r="Q44" s="20">
        <v>41529</v>
      </c>
      <c r="R44" s="20">
        <v>41529</v>
      </c>
    </row>
    <row r="45" spans="1:18">
      <c r="A45" s="17">
        <v>2013</v>
      </c>
      <c r="B45" s="18" t="s">
        <v>481</v>
      </c>
      <c r="C45" s="18" t="s">
        <v>482</v>
      </c>
      <c r="D45" s="19">
        <v>3206092</v>
      </c>
      <c r="E45" s="19">
        <v>2</v>
      </c>
      <c r="F45" s="19"/>
      <c r="G45" s="19">
        <v>170</v>
      </c>
      <c r="H45" s="19" t="s">
        <v>68</v>
      </c>
      <c r="I45" s="19"/>
      <c r="J45" s="19" t="s">
        <v>69</v>
      </c>
      <c r="K45" s="19" t="b">
        <v>1</v>
      </c>
      <c r="L45" s="15">
        <v>2013</v>
      </c>
      <c r="M45" s="16">
        <v>120758.49</v>
      </c>
      <c r="N45" s="16">
        <v>467814.33</v>
      </c>
      <c r="O45" s="16">
        <v>679120</v>
      </c>
      <c r="P45" s="16">
        <v>695470.76</v>
      </c>
      <c r="Q45" s="20">
        <v>41529</v>
      </c>
      <c r="R45" s="20">
        <v>41529</v>
      </c>
    </row>
    <row r="46" spans="1:18">
      <c r="A46" s="17">
        <v>2013</v>
      </c>
      <c r="B46" s="18" t="s">
        <v>481</v>
      </c>
      <c r="C46" s="18" t="s">
        <v>482</v>
      </c>
      <c r="D46" s="19">
        <v>3206092</v>
      </c>
      <c r="E46" s="19">
        <v>2</v>
      </c>
      <c r="F46" s="19"/>
      <c r="G46" s="19">
        <v>490</v>
      </c>
      <c r="H46" s="19">
        <v>9.5</v>
      </c>
      <c r="I46" s="19"/>
      <c r="J46" s="19" t="s">
        <v>101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41529</v>
      </c>
      <c r="R46" s="20">
        <v>41529</v>
      </c>
    </row>
    <row r="47" spans="1:18">
      <c r="A47" s="17">
        <v>2013</v>
      </c>
      <c r="B47" s="18" t="s">
        <v>481</v>
      </c>
      <c r="C47" s="18" t="s">
        <v>482</v>
      </c>
      <c r="D47" s="19">
        <v>3206092</v>
      </c>
      <c r="E47" s="19">
        <v>2</v>
      </c>
      <c r="F47" s="19"/>
      <c r="G47" s="19">
        <v>240</v>
      </c>
      <c r="H47" s="19">
        <v>4.2</v>
      </c>
      <c r="I47" s="19"/>
      <c r="J47" s="19" t="s">
        <v>76</v>
      </c>
      <c r="K47" s="19" t="b">
        <v>0</v>
      </c>
      <c r="L47" s="15">
        <v>2013</v>
      </c>
      <c r="M47" s="16">
        <v>0</v>
      </c>
      <c r="N47" s="16">
        <v>0</v>
      </c>
      <c r="O47" s="16">
        <v>2186791</v>
      </c>
      <c r="P47" s="16">
        <v>2232306.84</v>
      </c>
      <c r="Q47" s="20">
        <v>41529</v>
      </c>
      <c r="R47" s="20">
        <v>41529</v>
      </c>
    </row>
    <row r="48" spans="1:18">
      <c r="A48" s="17">
        <v>2013</v>
      </c>
      <c r="B48" s="18" t="s">
        <v>481</v>
      </c>
      <c r="C48" s="18" t="s">
        <v>482</v>
      </c>
      <c r="D48" s="19">
        <v>3206092</v>
      </c>
      <c r="E48" s="19">
        <v>2</v>
      </c>
      <c r="F48" s="19"/>
      <c r="G48" s="19">
        <v>80</v>
      </c>
      <c r="H48" s="19" t="s">
        <v>54</v>
      </c>
      <c r="I48" s="19"/>
      <c r="J48" s="19" t="s">
        <v>55</v>
      </c>
      <c r="K48" s="19" t="b">
        <v>1</v>
      </c>
      <c r="L48" s="15">
        <v>2013</v>
      </c>
      <c r="M48" s="16">
        <v>3601430.92</v>
      </c>
      <c r="N48" s="16">
        <v>3787259.62</v>
      </c>
      <c r="O48" s="16">
        <v>0</v>
      </c>
      <c r="P48" s="16">
        <v>4475079.28</v>
      </c>
      <c r="Q48" s="20">
        <v>41529</v>
      </c>
      <c r="R48" s="20">
        <v>41529</v>
      </c>
    </row>
    <row r="49" spans="1:18">
      <c r="A49" s="17">
        <v>2013</v>
      </c>
      <c r="B49" s="18" t="s">
        <v>481</v>
      </c>
      <c r="C49" s="18" t="s">
        <v>482</v>
      </c>
      <c r="D49" s="19">
        <v>3206092</v>
      </c>
      <c r="E49" s="19">
        <v>2</v>
      </c>
      <c r="F49" s="19"/>
      <c r="G49" s="19">
        <v>750</v>
      </c>
      <c r="H49" s="19" t="s">
        <v>138</v>
      </c>
      <c r="I49" s="19"/>
      <c r="J49" s="19" t="s">
        <v>139</v>
      </c>
      <c r="K49" s="19" t="b">
        <v>0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41529</v>
      </c>
      <c r="R49" s="20">
        <v>41529</v>
      </c>
    </row>
    <row r="50" spans="1:18">
      <c r="A50" s="17">
        <v>2013</v>
      </c>
      <c r="B50" s="18" t="s">
        <v>481</v>
      </c>
      <c r="C50" s="18" t="s">
        <v>482</v>
      </c>
      <c r="D50" s="19">
        <v>3206092</v>
      </c>
      <c r="E50" s="19">
        <v>2</v>
      </c>
      <c r="F50" s="19"/>
      <c r="G50" s="19">
        <v>140</v>
      </c>
      <c r="H50" s="19" t="s">
        <v>62</v>
      </c>
      <c r="I50" s="19"/>
      <c r="J50" s="19" t="s">
        <v>63</v>
      </c>
      <c r="K50" s="19" t="b">
        <v>1</v>
      </c>
      <c r="L50" s="15">
        <v>2013</v>
      </c>
      <c r="M50" s="16">
        <v>0</v>
      </c>
      <c r="N50" s="16">
        <v>0</v>
      </c>
      <c r="O50" s="16">
        <v>0</v>
      </c>
      <c r="P50" s="16">
        <v>0</v>
      </c>
      <c r="Q50" s="20">
        <v>41529</v>
      </c>
      <c r="R50" s="20">
        <v>41529</v>
      </c>
    </row>
    <row r="51" spans="1:18">
      <c r="A51" s="17">
        <v>2013</v>
      </c>
      <c r="B51" s="18" t="s">
        <v>481</v>
      </c>
      <c r="C51" s="18" t="s">
        <v>482</v>
      </c>
      <c r="D51" s="19">
        <v>3206092</v>
      </c>
      <c r="E51" s="19">
        <v>2</v>
      </c>
      <c r="F51" s="19"/>
      <c r="G51" s="19">
        <v>890</v>
      </c>
      <c r="H51" s="19">
        <v>14.2</v>
      </c>
      <c r="I51" s="19"/>
      <c r="J51" s="19" t="s">
        <v>155</v>
      </c>
      <c r="K51" s="19" t="b">
        <v>1</v>
      </c>
      <c r="L51" s="15">
        <v>2013</v>
      </c>
      <c r="M51" s="16">
        <v>0</v>
      </c>
      <c r="N51" s="16">
        <v>0</v>
      </c>
      <c r="O51" s="16">
        <v>29550</v>
      </c>
      <c r="P51" s="16">
        <v>49550</v>
      </c>
      <c r="Q51" s="20">
        <v>41529</v>
      </c>
      <c r="R51" s="20">
        <v>41529</v>
      </c>
    </row>
    <row r="52" spans="1:18">
      <c r="A52" s="17">
        <v>2013</v>
      </c>
      <c r="B52" s="18" t="s">
        <v>481</v>
      </c>
      <c r="C52" s="18" t="s">
        <v>482</v>
      </c>
      <c r="D52" s="19">
        <v>3206092</v>
      </c>
      <c r="E52" s="19">
        <v>2</v>
      </c>
      <c r="F52" s="19"/>
      <c r="G52" s="19">
        <v>200</v>
      </c>
      <c r="H52" s="19">
        <v>3</v>
      </c>
      <c r="I52" s="19" t="s">
        <v>492</v>
      </c>
      <c r="J52" s="19" t="s">
        <v>23</v>
      </c>
      <c r="K52" s="19" t="b">
        <v>0</v>
      </c>
      <c r="L52" s="15">
        <v>2013</v>
      </c>
      <c r="M52" s="16">
        <v>-2404070.91</v>
      </c>
      <c r="N52" s="16">
        <v>-6401042.8399999999</v>
      </c>
      <c r="O52" s="16">
        <v>-2236019</v>
      </c>
      <c r="P52" s="16">
        <v>101831.3</v>
      </c>
      <c r="Q52" s="20">
        <v>41529</v>
      </c>
      <c r="R52" s="20">
        <v>41529</v>
      </c>
    </row>
    <row r="53" spans="1:18">
      <c r="A53" s="17">
        <v>2013</v>
      </c>
      <c r="B53" s="18" t="s">
        <v>481</v>
      </c>
      <c r="C53" s="18" t="s">
        <v>482</v>
      </c>
      <c r="D53" s="19">
        <v>3206092</v>
      </c>
      <c r="E53" s="19">
        <v>2</v>
      </c>
      <c r="F53" s="19"/>
      <c r="G53" s="19">
        <v>940</v>
      </c>
      <c r="H53" s="19">
        <v>14.4</v>
      </c>
      <c r="I53" s="19"/>
      <c r="J53" s="19" t="s">
        <v>163</v>
      </c>
      <c r="K53" s="19" t="b">
        <v>1</v>
      </c>
      <c r="L53" s="15">
        <v>2013</v>
      </c>
      <c r="M53" s="16">
        <v>0</v>
      </c>
      <c r="N53" s="16">
        <v>0</v>
      </c>
      <c r="O53" s="16">
        <v>0</v>
      </c>
      <c r="P53" s="16">
        <v>0</v>
      </c>
      <c r="Q53" s="20">
        <v>41529</v>
      </c>
      <c r="R53" s="20">
        <v>41529</v>
      </c>
    </row>
    <row r="54" spans="1:18">
      <c r="A54" s="17">
        <v>2013</v>
      </c>
      <c r="B54" s="18" t="s">
        <v>481</v>
      </c>
      <c r="C54" s="18" t="s">
        <v>482</v>
      </c>
      <c r="D54" s="19">
        <v>3206092</v>
      </c>
      <c r="E54" s="19">
        <v>2</v>
      </c>
      <c r="F54" s="19"/>
      <c r="G54" s="19">
        <v>250</v>
      </c>
      <c r="H54" s="19" t="s">
        <v>77</v>
      </c>
      <c r="I54" s="19"/>
      <c r="J54" s="19" t="s">
        <v>78</v>
      </c>
      <c r="K54" s="19" t="b">
        <v>0</v>
      </c>
      <c r="L54" s="15">
        <v>2013</v>
      </c>
      <c r="M54" s="16">
        <v>0</v>
      </c>
      <c r="N54" s="16">
        <v>0</v>
      </c>
      <c r="O54" s="16">
        <v>92653</v>
      </c>
      <c r="P54" s="16">
        <v>92653</v>
      </c>
      <c r="Q54" s="20">
        <v>41529</v>
      </c>
      <c r="R54" s="20">
        <v>41529</v>
      </c>
    </row>
    <row r="55" spans="1:18">
      <c r="A55" s="17">
        <v>2013</v>
      </c>
      <c r="B55" s="18" t="s">
        <v>481</v>
      </c>
      <c r="C55" s="18" t="s">
        <v>482</v>
      </c>
      <c r="D55" s="19">
        <v>3206092</v>
      </c>
      <c r="E55" s="19">
        <v>2</v>
      </c>
      <c r="F55" s="19"/>
      <c r="G55" s="19">
        <v>390</v>
      </c>
      <c r="H55" s="19">
        <v>6.3</v>
      </c>
      <c r="I55" s="19" t="s">
        <v>498</v>
      </c>
      <c r="J55" s="19" t="s">
        <v>94</v>
      </c>
      <c r="K55" s="19" t="b">
        <v>0</v>
      </c>
      <c r="L55" s="15">
        <v>2013</v>
      </c>
      <c r="M55" s="16">
        <v>0.43280000000000002</v>
      </c>
      <c r="N55" s="16">
        <v>0.38690000000000002</v>
      </c>
      <c r="O55" s="16">
        <v>0.47960000000000003</v>
      </c>
      <c r="P55" s="16">
        <v>0.50380000000000003</v>
      </c>
      <c r="Q55" s="20">
        <v>41529</v>
      </c>
      <c r="R55" s="20">
        <v>41529</v>
      </c>
    </row>
    <row r="56" spans="1:18">
      <c r="A56" s="17">
        <v>2013</v>
      </c>
      <c r="B56" s="18" t="s">
        <v>481</v>
      </c>
      <c r="C56" s="18" t="s">
        <v>482</v>
      </c>
      <c r="D56" s="19">
        <v>3206092</v>
      </c>
      <c r="E56" s="19">
        <v>2</v>
      </c>
      <c r="F56" s="19"/>
      <c r="G56" s="19">
        <v>760</v>
      </c>
      <c r="H56" s="19">
        <v>12.4</v>
      </c>
      <c r="I56" s="19"/>
      <c r="J56" s="19" t="s">
        <v>140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41529</v>
      </c>
      <c r="R56" s="20">
        <v>41529</v>
      </c>
    </row>
    <row r="57" spans="1:18">
      <c r="A57" s="17">
        <v>2013</v>
      </c>
      <c r="B57" s="18" t="s">
        <v>481</v>
      </c>
      <c r="C57" s="18" t="s">
        <v>482</v>
      </c>
      <c r="D57" s="19">
        <v>3206092</v>
      </c>
      <c r="E57" s="19">
        <v>2</v>
      </c>
      <c r="F57" s="19"/>
      <c r="G57" s="19">
        <v>730</v>
      </c>
      <c r="H57" s="19">
        <v>12.3</v>
      </c>
      <c r="I57" s="19"/>
      <c r="J57" s="19" t="s">
        <v>135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41529</v>
      </c>
      <c r="R57" s="20">
        <v>41529</v>
      </c>
    </row>
    <row r="58" spans="1:18">
      <c r="A58" s="17">
        <v>2013</v>
      </c>
      <c r="B58" s="18" t="s">
        <v>481</v>
      </c>
      <c r="C58" s="18" t="s">
        <v>482</v>
      </c>
      <c r="D58" s="19">
        <v>3206092</v>
      </c>
      <c r="E58" s="19">
        <v>2</v>
      </c>
      <c r="F58" s="19"/>
      <c r="G58" s="19">
        <v>180</v>
      </c>
      <c r="H58" s="19" t="s">
        <v>70</v>
      </c>
      <c r="I58" s="19"/>
      <c r="J58" s="19" t="s">
        <v>71</v>
      </c>
      <c r="K58" s="19" t="b">
        <v>0</v>
      </c>
      <c r="L58" s="15">
        <v>2013</v>
      </c>
      <c r="M58" s="16">
        <v>106758.49</v>
      </c>
      <c r="N58" s="16">
        <v>439714.33</v>
      </c>
      <c r="O58" s="16">
        <v>669120</v>
      </c>
      <c r="P58" s="16">
        <v>685470.76</v>
      </c>
      <c r="Q58" s="20">
        <v>41529</v>
      </c>
      <c r="R58" s="20">
        <v>41529</v>
      </c>
    </row>
    <row r="59" spans="1:18">
      <c r="A59" s="17">
        <v>2013</v>
      </c>
      <c r="B59" s="18" t="s">
        <v>481</v>
      </c>
      <c r="C59" s="18" t="s">
        <v>482</v>
      </c>
      <c r="D59" s="19">
        <v>3206092</v>
      </c>
      <c r="E59" s="19">
        <v>2</v>
      </c>
      <c r="F59" s="19"/>
      <c r="G59" s="19">
        <v>850</v>
      </c>
      <c r="H59" s="19">
        <v>13.6</v>
      </c>
      <c r="I59" s="19"/>
      <c r="J59" s="19" t="s">
        <v>151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41529</v>
      </c>
      <c r="R59" s="20">
        <v>41529</v>
      </c>
    </row>
    <row r="60" spans="1:18">
      <c r="A60" s="17">
        <v>2013</v>
      </c>
      <c r="B60" s="18" t="s">
        <v>481</v>
      </c>
      <c r="C60" s="18" t="s">
        <v>482</v>
      </c>
      <c r="D60" s="19">
        <v>3206092</v>
      </c>
      <c r="E60" s="19">
        <v>2</v>
      </c>
      <c r="F60" s="19"/>
      <c r="G60" s="19">
        <v>450</v>
      </c>
      <c r="H60" s="19">
        <v>9.1</v>
      </c>
      <c r="I60" s="19" t="s">
        <v>489</v>
      </c>
      <c r="J60" s="19" t="s">
        <v>98</v>
      </c>
      <c r="K60" s="19" t="b">
        <v>1</v>
      </c>
      <c r="L60" s="15">
        <v>2013</v>
      </c>
      <c r="M60" s="16">
        <v>2.2700000000000001E-2</v>
      </c>
      <c r="N60" s="16">
        <v>0.21060000000000001</v>
      </c>
      <c r="O60" s="16">
        <v>0.22370000000000001</v>
      </c>
      <c r="P60" s="16">
        <v>0.2218</v>
      </c>
      <c r="Q60" s="20">
        <v>41529</v>
      </c>
      <c r="R60" s="20">
        <v>41529</v>
      </c>
    </row>
    <row r="61" spans="1:18">
      <c r="A61" s="17">
        <v>2013</v>
      </c>
      <c r="B61" s="18" t="s">
        <v>481</v>
      </c>
      <c r="C61" s="18" t="s">
        <v>482</v>
      </c>
      <c r="D61" s="19">
        <v>3206092</v>
      </c>
      <c r="E61" s="19">
        <v>2</v>
      </c>
      <c r="F61" s="19"/>
      <c r="G61" s="19">
        <v>640</v>
      </c>
      <c r="H61" s="19">
        <v>11.5</v>
      </c>
      <c r="I61" s="19"/>
      <c r="J61" s="19" t="s">
        <v>122</v>
      </c>
      <c r="K61" s="19" t="b">
        <v>1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41529</v>
      </c>
      <c r="R61" s="20">
        <v>41529</v>
      </c>
    </row>
    <row r="62" spans="1:18">
      <c r="A62" s="17">
        <v>2013</v>
      </c>
      <c r="B62" s="18" t="s">
        <v>481</v>
      </c>
      <c r="C62" s="18" t="s">
        <v>482</v>
      </c>
      <c r="D62" s="19">
        <v>3206092</v>
      </c>
      <c r="E62" s="19">
        <v>2</v>
      </c>
      <c r="F62" s="19"/>
      <c r="G62" s="19">
        <v>90</v>
      </c>
      <c r="H62" s="19">
        <v>1.2</v>
      </c>
      <c r="I62" s="19"/>
      <c r="J62" s="19" t="s">
        <v>56</v>
      </c>
      <c r="K62" s="19" t="b">
        <v>1</v>
      </c>
      <c r="L62" s="15">
        <v>2013</v>
      </c>
      <c r="M62" s="16">
        <v>3032196.59</v>
      </c>
      <c r="N62" s="16">
        <v>1732403.2</v>
      </c>
      <c r="O62" s="16">
        <v>2687994</v>
      </c>
      <c r="P62" s="16">
        <v>2530972.16</v>
      </c>
      <c r="Q62" s="20">
        <v>41529</v>
      </c>
      <c r="R62" s="20">
        <v>41529</v>
      </c>
    </row>
    <row r="63" spans="1:18">
      <c r="A63" s="17">
        <v>2013</v>
      </c>
      <c r="B63" s="18" t="s">
        <v>481</v>
      </c>
      <c r="C63" s="18" t="s">
        <v>482</v>
      </c>
      <c r="D63" s="19">
        <v>3206092</v>
      </c>
      <c r="E63" s="19">
        <v>2</v>
      </c>
      <c r="F63" s="19"/>
      <c r="G63" s="19">
        <v>460</v>
      </c>
      <c r="H63" s="19">
        <v>9.1999999999999993</v>
      </c>
      <c r="I63" s="19" t="s">
        <v>487</v>
      </c>
      <c r="J63" s="19" t="s">
        <v>99</v>
      </c>
      <c r="K63" s="19" t="b">
        <v>0</v>
      </c>
      <c r="L63" s="15">
        <v>2013</v>
      </c>
      <c r="M63" s="16">
        <v>2.2700000000000001E-2</v>
      </c>
      <c r="N63" s="16">
        <v>0.21060000000000001</v>
      </c>
      <c r="O63" s="16">
        <v>0.22370000000000001</v>
      </c>
      <c r="P63" s="16">
        <v>7.6100000000000001E-2</v>
      </c>
      <c r="Q63" s="20">
        <v>41529</v>
      </c>
      <c r="R63" s="20">
        <v>41529</v>
      </c>
    </row>
    <row r="64" spans="1:18">
      <c r="A64" s="17">
        <v>2013</v>
      </c>
      <c r="B64" s="18" t="s">
        <v>481</v>
      </c>
      <c r="C64" s="18" t="s">
        <v>482</v>
      </c>
      <c r="D64" s="19">
        <v>3206092</v>
      </c>
      <c r="E64" s="19">
        <v>2</v>
      </c>
      <c r="F64" s="19"/>
      <c r="G64" s="19">
        <v>210</v>
      </c>
      <c r="H64" s="19">
        <v>4</v>
      </c>
      <c r="I64" s="19" t="s">
        <v>497</v>
      </c>
      <c r="J64" s="19" t="s">
        <v>24</v>
      </c>
      <c r="K64" s="19" t="b">
        <v>0</v>
      </c>
      <c r="L64" s="15">
        <v>2013</v>
      </c>
      <c r="M64" s="16">
        <v>5530000</v>
      </c>
      <c r="N64" s="16">
        <v>8395000</v>
      </c>
      <c r="O64" s="16">
        <v>5686791</v>
      </c>
      <c r="P64" s="16">
        <v>5432306.8399999999</v>
      </c>
      <c r="Q64" s="20">
        <v>41529</v>
      </c>
      <c r="R64" s="20">
        <v>41529</v>
      </c>
    </row>
    <row r="65" spans="1:18">
      <c r="A65" s="17">
        <v>2013</v>
      </c>
      <c r="B65" s="18" t="s">
        <v>481</v>
      </c>
      <c r="C65" s="18" t="s">
        <v>482</v>
      </c>
      <c r="D65" s="19">
        <v>3206092</v>
      </c>
      <c r="E65" s="19">
        <v>2</v>
      </c>
      <c r="F65" s="19"/>
      <c r="G65" s="19">
        <v>220</v>
      </c>
      <c r="H65" s="19">
        <v>4.0999999999999996</v>
      </c>
      <c r="I65" s="19"/>
      <c r="J65" s="19" t="s">
        <v>73</v>
      </c>
      <c r="K65" s="19" t="b">
        <v>0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41529</v>
      </c>
      <c r="R65" s="20">
        <v>41529</v>
      </c>
    </row>
    <row r="66" spans="1:18">
      <c r="A66" s="17">
        <v>2013</v>
      </c>
      <c r="B66" s="18" t="s">
        <v>481</v>
      </c>
      <c r="C66" s="18" t="s">
        <v>482</v>
      </c>
      <c r="D66" s="19">
        <v>3206092</v>
      </c>
      <c r="E66" s="19">
        <v>2</v>
      </c>
      <c r="F66" s="19"/>
      <c r="G66" s="19">
        <v>580</v>
      </c>
      <c r="H66" s="19">
        <v>11.1</v>
      </c>
      <c r="I66" s="19"/>
      <c r="J66" s="19" t="s">
        <v>114</v>
      </c>
      <c r="K66" s="19" t="b">
        <v>0</v>
      </c>
      <c r="L66" s="15">
        <v>2013</v>
      </c>
      <c r="M66" s="16">
        <v>0</v>
      </c>
      <c r="N66" s="16">
        <v>5923327</v>
      </c>
      <c r="O66" s="16">
        <v>6553390.0899999999</v>
      </c>
      <c r="P66" s="16">
        <v>6453390.0899999999</v>
      </c>
      <c r="Q66" s="20">
        <v>41529</v>
      </c>
      <c r="R66" s="20">
        <v>41529</v>
      </c>
    </row>
    <row r="67" spans="1:18">
      <c r="A67" s="17">
        <v>2013</v>
      </c>
      <c r="B67" s="18" t="s">
        <v>481</v>
      </c>
      <c r="C67" s="18" t="s">
        <v>482</v>
      </c>
      <c r="D67" s="19">
        <v>3206092</v>
      </c>
      <c r="E67" s="19">
        <v>2</v>
      </c>
      <c r="F67" s="19"/>
      <c r="G67" s="19">
        <v>480</v>
      </c>
      <c r="H67" s="19">
        <v>9.4</v>
      </c>
      <c r="I67" s="19" t="s">
        <v>487</v>
      </c>
      <c r="J67" s="19" t="s">
        <v>100</v>
      </c>
      <c r="K67" s="19" t="b">
        <v>0</v>
      </c>
      <c r="L67" s="15">
        <v>2013</v>
      </c>
      <c r="M67" s="16">
        <v>2.2700000000000001E-2</v>
      </c>
      <c r="N67" s="16">
        <v>0.21060000000000001</v>
      </c>
      <c r="O67" s="16">
        <v>0.22370000000000001</v>
      </c>
      <c r="P67" s="16">
        <v>7.6100000000000001E-2</v>
      </c>
      <c r="Q67" s="20">
        <v>41529</v>
      </c>
      <c r="R67" s="20">
        <v>41529</v>
      </c>
    </row>
    <row r="68" spans="1:18">
      <c r="A68" s="17">
        <v>2013</v>
      </c>
      <c r="B68" s="18" t="s">
        <v>481</v>
      </c>
      <c r="C68" s="18" t="s">
        <v>482</v>
      </c>
      <c r="D68" s="19">
        <v>3206092</v>
      </c>
      <c r="E68" s="19">
        <v>2</v>
      </c>
      <c r="F68" s="19"/>
      <c r="G68" s="19">
        <v>30</v>
      </c>
      <c r="H68" s="19" t="s">
        <v>44</v>
      </c>
      <c r="I68" s="19"/>
      <c r="J68" s="19" t="s">
        <v>45</v>
      </c>
      <c r="K68" s="19" t="b">
        <v>1</v>
      </c>
      <c r="L68" s="15">
        <v>2013</v>
      </c>
      <c r="M68" s="16">
        <v>1009425</v>
      </c>
      <c r="N68" s="16">
        <v>1249390</v>
      </c>
      <c r="O68" s="16">
        <v>0</v>
      </c>
      <c r="P68" s="16">
        <v>1312222</v>
      </c>
      <c r="Q68" s="20">
        <v>41529</v>
      </c>
      <c r="R68" s="20">
        <v>41529</v>
      </c>
    </row>
    <row r="69" spans="1:18">
      <c r="A69" s="17">
        <v>2013</v>
      </c>
      <c r="B69" s="18" t="s">
        <v>481</v>
      </c>
      <c r="C69" s="18" t="s">
        <v>482</v>
      </c>
      <c r="D69" s="19">
        <v>3206092</v>
      </c>
      <c r="E69" s="19">
        <v>2</v>
      </c>
      <c r="F69" s="19"/>
      <c r="G69" s="19">
        <v>830</v>
      </c>
      <c r="H69" s="19">
        <v>13.4</v>
      </c>
      <c r="I69" s="19"/>
      <c r="J69" s="19" t="s">
        <v>149</v>
      </c>
      <c r="K69" s="19" t="b">
        <v>1</v>
      </c>
      <c r="L69" s="15">
        <v>2013</v>
      </c>
      <c r="M69" s="16">
        <v>0</v>
      </c>
      <c r="N69" s="16">
        <v>0</v>
      </c>
      <c r="O69" s="16">
        <v>0</v>
      </c>
      <c r="P69" s="16">
        <v>0</v>
      </c>
      <c r="Q69" s="20">
        <v>41529</v>
      </c>
      <c r="R69" s="20">
        <v>41529</v>
      </c>
    </row>
    <row r="70" spans="1:18">
      <c r="A70" s="17">
        <v>2013</v>
      </c>
      <c r="B70" s="18" t="s">
        <v>481</v>
      </c>
      <c r="C70" s="18" t="s">
        <v>482</v>
      </c>
      <c r="D70" s="19">
        <v>3206092</v>
      </c>
      <c r="E70" s="19">
        <v>2</v>
      </c>
      <c r="F70" s="19"/>
      <c r="G70" s="19">
        <v>130</v>
      </c>
      <c r="H70" s="19">
        <v>2.1</v>
      </c>
      <c r="I70" s="19"/>
      <c r="J70" s="19" t="s">
        <v>61</v>
      </c>
      <c r="K70" s="19" t="b">
        <v>1</v>
      </c>
      <c r="L70" s="15">
        <v>2013</v>
      </c>
      <c r="M70" s="16">
        <v>14183688.6</v>
      </c>
      <c r="N70" s="16">
        <v>14121187.48</v>
      </c>
      <c r="O70" s="16">
        <v>15825527.92</v>
      </c>
      <c r="P70" s="16">
        <v>15466263.529999999</v>
      </c>
      <c r="Q70" s="20">
        <v>41529</v>
      </c>
      <c r="R70" s="20">
        <v>41529</v>
      </c>
    </row>
    <row r="71" spans="1:18">
      <c r="A71" s="17">
        <v>2013</v>
      </c>
      <c r="B71" s="18" t="s">
        <v>481</v>
      </c>
      <c r="C71" s="18" t="s">
        <v>482</v>
      </c>
      <c r="D71" s="19">
        <v>3206092</v>
      </c>
      <c r="E71" s="19">
        <v>2</v>
      </c>
      <c r="F71" s="19"/>
      <c r="G71" s="19">
        <v>230</v>
      </c>
      <c r="H71" s="19" t="s">
        <v>74</v>
      </c>
      <c r="I71" s="19"/>
      <c r="J71" s="19" t="s">
        <v>75</v>
      </c>
      <c r="K71" s="19" t="b">
        <v>0</v>
      </c>
      <c r="L71" s="15">
        <v>2013</v>
      </c>
      <c r="M71" s="16">
        <v>0</v>
      </c>
      <c r="N71" s="16">
        <v>0</v>
      </c>
      <c r="O71" s="16">
        <v>0</v>
      </c>
      <c r="P71" s="16">
        <v>0</v>
      </c>
      <c r="Q71" s="20">
        <v>41529</v>
      </c>
      <c r="R71" s="20">
        <v>41529</v>
      </c>
    </row>
    <row r="72" spans="1:18">
      <c r="A72" s="17">
        <v>2013</v>
      </c>
      <c r="B72" s="18" t="s">
        <v>481</v>
      </c>
      <c r="C72" s="18" t="s">
        <v>482</v>
      </c>
      <c r="D72" s="19">
        <v>3206092</v>
      </c>
      <c r="E72" s="19">
        <v>2</v>
      </c>
      <c r="F72" s="19"/>
      <c r="G72" s="19">
        <v>340</v>
      </c>
      <c r="H72" s="19">
        <v>5.2</v>
      </c>
      <c r="I72" s="19"/>
      <c r="J72" s="19" t="s">
        <v>89</v>
      </c>
      <c r="K72" s="19" t="b">
        <v>0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41529</v>
      </c>
      <c r="R72" s="20">
        <v>41529</v>
      </c>
    </row>
    <row r="73" spans="1:18">
      <c r="A73" s="17">
        <v>2013</v>
      </c>
      <c r="B73" s="18" t="s">
        <v>481</v>
      </c>
      <c r="C73" s="18" t="s">
        <v>482</v>
      </c>
      <c r="D73" s="19">
        <v>3206092</v>
      </c>
      <c r="E73" s="19">
        <v>2</v>
      </c>
      <c r="F73" s="19"/>
      <c r="G73" s="19">
        <v>110</v>
      </c>
      <c r="H73" s="19" t="s">
        <v>59</v>
      </c>
      <c r="I73" s="19"/>
      <c r="J73" s="19" t="s">
        <v>60</v>
      </c>
      <c r="K73" s="19" t="b">
        <v>1</v>
      </c>
      <c r="L73" s="15">
        <v>2013</v>
      </c>
      <c r="M73" s="16">
        <v>2937655.22</v>
      </c>
      <c r="N73" s="16">
        <v>1605522</v>
      </c>
      <c r="O73" s="16">
        <v>0</v>
      </c>
      <c r="P73" s="16">
        <v>2325716.35</v>
      </c>
      <c r="Q73" s="20">
        <v>41529</v>
      </c>
      <c r="R73" s="20">
        <v>41529</v>
      </c>
    </row>
    <row r="74" spans="1:18">
      <c r="A74" s="17">
        <v>2013</v>
      </c>
      <c r="B74" s="18" t="s">
        <v>481</v>
      </c>
      <c r="C74" s="18" t="s">
        <v>482</v>
      </c>
      <c r="D74" s="19">
        <v>3206092</v>
      </c>
      <c r="E74" s="19">
        <v>2</v>
      </c>
      <c r="F74" s="19"/>
      <c r="G74" s="19">
        <v>770</v>
      </c>
      <c r="H74" s="19" t="s">
        <v>141</v>
      </c>
      <c r="I74" s="19"/>
      <c r="J74" s="19" t="s">
        <v>142</v>
      </c>
      <c r="K74" s="19" t="b">
        <v>1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41529</v>
      </c>
      <c r="R74" s="20">
        <v>41529</v>
      </c>
    </row>
    <row r="75" spans="1:18">
      <c r="A75" s="17">
        <v>2013</v>
      </c>
      <c r="B75" s="18" t="s">
        <v>481</v>
      </c>
      <c r="C75" s="18" t="s">
        <v>482</v>
      </c>
      <c r="D75" s="19">
        <v>3206092</v>
      </c>
      <c r="E75" s="19">
        <v>2</v>
      </c>
      <c r="F75" s="19"/>
      <c r="G75" s="19">
        <v>350</v>
      </c>
      <c r="H75" s="19">
        <v>6</v>
      </c>
      <c r="I75" s="19"/>
      <c r="J75" s="19" t="s">
        <v>27</v>
      </c>
      <c r="K75" s="19" t="b">
        <v>1</v>
      </c>
      <c r="L75" s="15">
        <v>2013</v>
      </c>
      <c r="M75" s="16">
        <v>7081097.4699999997</v>
      </c>
      <c r="N75" s="16">
        <v>12619063.17</v>
      </c>
      <c r="O75" s="16">
        <v>12697841</v>
      </c>
      <c r="P75" s="16">
        <v>12435799.449999999</v>
      </c>
      <c r="Q75" s="20">
        <v>41529</v>
      </c>
      <c r="R75" s="20">
        <v>41529</v>
      </c>
    </row>
    <row r="76" spans="1:18">
      <c r="A76" s="17">
        <v>2013</v>
      </c>
      <c r="B76" s="18" t="s">
        <v>481</v>
      </c>
      <c r="C76" s="18" t="s">
        <v>482</v>
      </c>
      <c r="D76" s="19">
        <v>3206092</v>
      </c>
      <c r="E76" s="19">
        <v>2</v>
      </c>
      <c r="F76" s="19"/>
      <c r="G76" s="19">
        <v>360</v>
      </c>
      <c r="H76" s="19">
        <v>6.1</v>
      </c>
      <c r="I76" s="19"/>
      <c r="J76" s="19" t="s">
        <v>502</v>
      </c>
      <c r="K76" s="19" t="b">
        <v>1</v>
      </c>
      <c r="L76" s="15">
        <v>2013</v>
      </c>
      <c r="M76" s="16">
        <v>0</v>
      </c>
      <c r="N76" s="16">
        <v>6480664</v>
      </c>
      <c r="O76" s="16">
        <v>3862354.56</v>
      </c>
      <c r="P76" s="16">
        <v>3110928.58</v>
      </c>
      <c r="Q76" s="20">
        <v>41529</v>
      </c>
      <c r="R76" s="20">
        <v>41529</v>
      </c>
    </row>
    <row r="77" spans="1:18">
      <c r="A77" s="17">
        <v>2013</v>
      </c>
      <c r="B77" s="18" t="s">
        <v>481</v>
      </c>
      <c r="C77" s="18" t="s">
        <v>482</v>
      </c>
      <c r="D77" s="19">
        <v>3206092</v>
      </c>
      <c r="E77" s="19">
        <v>2</v>
      </c>
      <c r="F77" s="19"/>
      <c r="G77" s="19">
        <v>710</v>
      </c>
      <c r="H77" s="19" t="s">
        <v>131</v>
      </c>
      <c r="I77" s="19"/>
      <c r="J77" s="19" t="s">
        <v>132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41529</v>
      </c>
      <c r="R77" s="20">
        <v>41529</v>
      </c>
    </row>
    <row r="78" spans="1:18">
      <c r="A78" s="17">
        <v>2013</v>
      </c>
      <c r="B78" s="18" t="s">
        <v>481</v>
      </c>
      <c r="C78" s="18" t="s">
        <v>482</v>
      </c>
      <c r="D78" s="19">
        <v>3206092</v>
      </c>
      <c r="E78" s="19">
        <v>2</v>
      </c>
      <c r="F78" s="19"/>
      <c r="G78" s="19">
        <v>650</v>
      </c>
      <c r="H78" s="19">
        <v>11.6</v>
      </c>
      <c r="I78" s="19"/>
      <c r="J78" s="19" t="s">
        <v>123</v>
      </c>
      <c r="K78" s="19" t="b">
        <v>1</v>
      </c>
      <c r="L78" s="15">
        <v>2013</v>
      </c>
      <c r="M78" s="16">
        <v>0</v>
      </c>
      <c r="N78" s="16">
        <v>0</v>
      </c>
      <c r="O78" s="16">
        <v>0</v>
      </c>
      <c r="P78" s="16">
        <v>0</v>
      </c>
      <c r="Q78" s="20">
        <v>41529</v>
      </c>
      <c r="R78" s="20">
        <v>41529</v>
      </c>
    </row>
    <row r="79" spans="1:18">
      <c r="A79" s="17">
        <v>2013</v>
      </c>
      <c r="B79" s="18" t="s">
        <v>481</v>
      </c>
      <c r="C79" s="18" t="s">
        <v>482</v>
      </c>
      <c r="D79" s="19">
        <v>3206092</v>
      </c>
      <c r="E79" s="19">
        <v>2</v>
      </c>
      <c r="F79" s="19"/>
      <c r="G79" s="19">
        <v>40</v>
      </c>
      <c r="H79" s="19" t="s">
        <v>46</v>
      </c>
      <c r="I79" s="19"/>
      <c r="J79" s="19" t="s">
        <v>47</v>
      </c>
      <c r="K79" s="19" t="b">
        <v>1</v>
      </c>
      <c r="L79" s="15">
        <v>2013</v>
      </c>
      <c r="M79" s="16">
        <v>9251.58</v>
      </c>
      <c r="N79" s="16">
        <v>8263.09</v>
      </c>
      <c r="O79" s="16">
        <v>0</v>
      </c>
      <c r="P79" s="16">
        <v>11877.15</v>
      </c>
      <c r="Q79" s="20">
        <v>41529</v>
      </c>
      <c r="R79" s="20">
        <v>41529</v>
      </c>
    </row>
    <row r="80" spans="1:18">
      <c r="A80" s="17">
        <v>2013</v>
      </c>
      <c r="B80" s="18" t="s">
        <v>481</v>
      </c>
      <c r="C80" s="18" t="s">
        <v>482</v>
      </c>
      <c r="D80" s="19">
        <v>3206092</v>
      </c>
      <c r="E80" s="19">
        <v>2</v>
      </c>
      <c r="F80" s="19"/>
      <c r="G80" s="19">
        <v>520</v>
      </c>
      <c r="H80" s="19" t="s">
        <v>106</v>
      </c>
      <c r="I80" s="19"/>
      <c r="J80" s="19" t="s">
        <v>493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0</v>
      </c>
      <c r="Q80" s="20">
        <v>41529</v>
      </c>
      <c r="R80" s="20">
        <v>41529</v>
      </c>
    </row>
    <row r="81" spans="1:18">
      <c r="A81" s="17">
        <v>2013</v>
      </c>
      <c r="B81" s="18" t="s">
        <v>481</v>
      </c>
      <c r="C81" s="18" t="s">
        <v>482</v>
      </c>
      <c r="D81" s="19">
        <v>3206092</v>
      </c>
      <c r="E81" s="19">
        <v>2</v>
      </c>
      <c r="F81" s="19"/>
      <c r="G81" s="19">
        <v>120</v>
      </c>
      <c r="H81" s="19">
        <v>2</v>
      </c>
      <c r="I81" s="19" t="s">
        <v>496</v>
      </c>
      <c r="J81" s="19" t="s">
        <v>21</v>
      </c>
      <c r="K81" s="19" t="b">
        <v>0</v>
      </c>
      <c r="L81" s="15">
        <v>2013</v>
      </c>
      <c r="M81" s="16">
        <v>18764728.809999999</v>
      </c>
      <c r="N81" s="16">
        <v>22266908</v>
      </c>
      <c r="O81" s="16">
        <v>20656887.920000002</v>
      </c>
      <c r="P81" s="16">
        <v>18408779.100000001</v>
      </c>
      <c r="Q81" s="20">
        <v>41529</v>
      </c>
      <c r="R81" s="20">
        <v>41529</v>
      </c>
    </row>
    <row r="82" spans="1:18">
      <c r="A82" s="17">
        <v>2013</v>
      </c>
      <c r="B82" s="18" t="s">
        <v>481</v>
      </c>
      <c r="C82" s="18" t="s">
        <v>482</v>
      </c>
      <c r="D82" s="19">
        <v>3206092</v>
      </c>
      <c r="E82" s="19">
        <v>2</v>
      </c>
      <c r="F82" s="19"/>
      <c r="G82" s="19">
        <v>570</v>
      </c>
      <c r="H82" s="19">
        <v>11</v>
      </c>
      <c r="I82" s="19"/>
      <c r="J82" s="19" t="s">
        <v>113</v>
      </c>
      <c r="K82" s="19" t="b">
        <v>0</v>
      </c>
      <c r="L82" s="15">
        <v>2013</v>
      </c>
      <c r="M82" s="16">
        <v>0</v>
      </c>
      <c r="N82" s="16">
        <v>0</v>
      </c>
      <c r="O82" s="16">
        <v>0</v>
      </c>
      <c r="P82" s="16">
        <v>0</v>
      </c>
      <c r="Q82" s="20">
        <v>41529</v>
      </c>
      <c r="R82" s="20">
        <v>41529</v>
      </c>
    </row>
    <row r="83" spans="1:18">
      <c r="A83" s="17">
        <v>2013</v>
      </c>
      <c r="B83" s="18" t="s">
        <v>481</v>
      </c>
      <c r="C83" s="18" t="s">
        <v>482</v>
      </c>
      <c r="D83" s="19">
        <v>3206092</v>
      </c>
      <c r="E83" s="19">
        <v>2</v>
      </c>
      <c r="F83" s="19"/>
      <c r="G83" s="19">
        <v>790</v>
      </c>
      <c r="H83" s="19">
        <v>13</v>
      </c>
      <c r="I83" s="19"/>
      <c r="J83" s="19" t="s">
        <v>145</v>
      </c>
      <c r="K83" s="19" t="b">
        <v>1</v>
      </c>
      <c r="L83" s="15">
        <v>2013</v>
      </c>
      <c r="M83" s="16">
        <v>0</v>
      </c>
      <c r="N83" s="16">
        <v>0</v>
      </c>
      <c r="O83" s="16">
        <v>0</v>
      </c>
      <c r="P83" s="16">
        <v>0</v>
      </c>
      <c r="Q83" s="20">
        <v>41529</v>
      </c>
      <c r="R83" s="20">
        <v>41529</v>
      </c>
    </row>
    <row r="84" spans="1:18">
      <c r="A84" s="17">
        <v>2013</v>
      </c>
      <c r="B84" s="18" t="s">
        <v>481</v>
      </c>
      <c r="C84" s="18" t="s">
        <v>482</v>
      </c>
      <c r="D84" s="19">
        <v>3206092</v>
      </c>
      <c r="E84" s="19">
        <v>2</v>
      </c>
      <c r="F84" s="19"/>
      <c r="G84" s="19">
        <v>870</v>
      </c>
      <c r="H84" s="19">
        <v>14</v>
      </c>
      <c r="I84" s="19"/>
      <c r="J84" s="19" t="s">
        <v>153</v>
      </c>
      <c r="K84" s="19" t="b">
        <v>1</v>
      </c>
      <c r="L84" s="15">
        <v>2013</v>
      </c>
      <c r="M84" s="16">
        <v>0</v>
      </c>
      <c r="N84" s="16">
        <v>0</v>
      </c>
      <c r="O84" s="16">
        <v>0</v>
      </c>
      <c r="P84" s="16">
        <v>0</v>
      </c>
      <c r="Q84" s="20">
        <v>41529</v>
      </c>
      <c r="R84" s="20">
        <v>41529</v>
      </c>
    </row>
    <row r="85" spans="1:18">
      <c r="A85" s="17">
        <v>2013</v>
      </c>
      <c r="B85" s="18" t="s">
        <v>481</v>
      </c>
      <c r="C85" s="18" t="s">
        <v>482</v>
      </c>
      <c r="D85" s="19">
        <v>3206092</v>
      </c>
      <c r="E85" s="19">
        <v>2</v>
      </c>
      <c r="F85" s="19"/>
      <c r="G85" s="19">
        <v>610</v>
      </c>
      <c r="H85" s="19" t="s">
        <v>117</v>
      </c>
      <c r="I85" s="19"/>
      <c r="J85" s="19" t="s">
        <v>118</v>
      </c>
      <c r="K85" s="19" t="b">
        <v>1</v>
      </c>
      <c r="L85" s="15">
        <v>2013</v>
      </c>
      <c r="M85" s="16">
        <v>0</v>
      </c>
      <c r="N85" s="16">
        <v>765372.88</v>
      </c>
      <c r="O85" s="16">
        <v>899105</v>
      </c>
      <c r="P85" s="16">
        <v>0</v>
      </c>
      <c r="Q85" s="20">
        <v>41529</v>
      </c>
      <c r="R85" s="20">
        <v>41529</v>
      </c>
    </row>
    <row r="86" spans="1:18">
      <c r="A86" s="17">
        <v>2013</v>
      </c>
      <c r="B86" s="18" t="s">
        <v>481</v>
      </c>
      <c r="C86" s="18" t="s">
        <v>482</v>
      </c>
      <c r="D86" s="19">
        <v>3206092</v>
      </c>
      <c r="E86" s="19">
        <v>2</v>
      </c>
      <c r="F86" s="19"/>
      <c r="G86" s="19">
        <v>300</v>
      </c>
      <c r="H86" s="19">
        <v>5</v>
      </c>
      <c r="I86" s="19" t="s">
        <v>500</v>
      </c>
      <c r="J86" s="19" t="s">
        <v>83</v>
      </c>
      <c r="K86" s="19" t="b">
        <v>0</v>
      </c>
      <c r="L86" s="15">
        <v>2013</v>
      </c>
      <c r="M86" s="16">
        <v>265120.73</v>
      </c>
      <c r="N86" s="16">
        <v>2901028.68</v>
      </c>
      <c r="O86" s="16">
        <v>3450772</v>
      </c>
      <c r="P86" s="16">
        <v>3420740.93</v>
      </c>
      <c r="Q86" s="20">
        <v>41529</v>
      </c>
      <c r="R86" s="20">
        <v>41529</v>
      </c>
    </row>
    <row r="87" spans="1:18">
      <c r="A87" s="17">
        <v>2013</v>
      </c>
      <c r="B87" s="18" t="s">
        <v>481</v>
      </c>
      <c r="C87" s="18" t="s">
        <v>482</v>
      </c>
      <c r="D87" s="19">
        <v>3206092</v>
      </c>
      <c r="E87" s="19">
        <v>2</v>
      </c>
      <c r="F87" s="19"/>
      <c r="G87" s="19">
        <v>310</v>
      </c>
      <c r="H87" s="19">
        <v>5.0999999999999996</v>
      </c>
      <c r="I87" s="19"/>
      <c r="J87" s="19" t="s">
        <v>84</v>
      </c>
      <c r="K87" s="19" t="b">
        <v>1</v>
      </c>
      <c r="L87" s="15">
        <v>2013</v>
      </c>
      <c r="M87" s="16">
        <v>265120.73</v>
      </c>
      <c r="N87" s="16">
        <v>2901028.68</v>
      </c>
      <c r="O87" s="16">
        <v>3450772</v>
      </c>
      <c r="P87" s="16">
        <v>3420740.93</v>
      </c>
      <c r="Q87" s="20">
        <v>41529</v>
      </c>
      <c r="R87" s="20">
        <v>41529</v>
      </c>
    </row>
    <row r="88" spans="1:18">
      <c r="A88" s="17">
        <v>2013</v>
      </c>
      <c r="B88" s="18" t="s">
        <v>481</v>
      </c>
      <c r="C88" s="18" t="s">
        <v>482</v>
      </c>
      <c r="D88" s="19">
        <v>3206092</v>
      </c>
      <c r="E88" s="19">
        <v>2</v>
      </c>
      <c r="F88" s="19"/>
      <c r="G88" s="19">
        <v>900</v>
      </c>
      <c r="H88" s="19">
        <v>14.3</v>
      </c>
      <c r="I88" s="19"/>
      <c r="J88" s="19" t="s">
        <v>156</v>
      </c>
      <c r="K88" s="19" t="b">
        <v>1</v>
      </c>
      <c r="L88" s="15">
        <v>2013</v>
      </c>
      <c r="M88" s="16">
        <v>0</v>
      </c>
      <c r="N88" s="16">
        <v>0</v>
      </c>
      <c r="O88" s="16">
        <v>9850</v>
      </c>
      <c r="P88" s="16">
        <v>29850</v>
      </c>
      <c r="Q88" s="20">
        <v>41529</v>
      </c>
      <c r="R88" s="20">
        <v>41529</v>
      </c>
    </row>
    <row r="89" spans="1:18">
      <c r="A89" s="17">
        <v>2013</v>
      </c>
      <c r="B89" s="18" t="s">
        <v>481</v>
      </c>
      <c r="C89" s="18" t="s">
        <v>482</v>
      </c>
      <c r="D89" s="19">
        <v>3206092</v>
      </c>
      <c r="E89" s="19">
        <v>2</v>
      </c>
      <c r="F89" s="19"/>
      <c r="G89" s="19">
        <v>560</v>
      </c>
      <c r="H89" s="19">
        <v>10.1</v>
      </c>
      <c r="I89" s="19"/>
      <c r="J89" s="19" t="s">
        <v>112</v>
      </c>
      <c r="K89" s="19" t="b">
        <v>0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41529</v>
      </c>
      <c r="R89" s="20">
        <v>41529</v>
      </c>
    </row>
    <row r="90" spans="1:18">
      <c r="A90" s="17">
        <v>2013</v>
      </c>
      <c r="B90" s="18" t="s">
        <v>481</v>
      </c>
      <c r="C90" s="18" t="s">
        <v>482</v>
      </c>
      <c r="D90" s="19">
        <v>3206092</v>
      </c>
      <c r="E90" s="19">
        <v>2</v>
      </c>
      <c r="F90" s="19"/>
      <c r="G90" s="19">
        <v>530</v>
      </c>
      <c r="H90" s="19">
        <v>9.8000000000000007</v>
      </c>
      <c r="I90" s="19" t="s">
        <v>486</v>
      </c>
      <c r="J90" s="19" t="s">
        <v>108</v>
      </c>
      <c r="K90" s="19" t="b">
        <v>0</v>
      </c>
      <c r="L90" s="15">
        <v>2013</v>
      </c>
      <c r="M90" s="16">
        <v>2.2700000000000001E-2</v>
      </c>
      <c r="N90" s="16">
        <v>0.21060000000000001</v>
      </c>
      <c r="O90" s="16">
        <v>0.22370000000000001</v>
      </c>
      <c r="P90" s="16">
        <v>7.6100000000000001E-2</v>
      </c>
      <c r="Q90" s="20">
        <v>41529</v>
      </c>
      <c r="R90" s="20">
        <v>41529</v>
      </c>
    </row>
    <row r="91" spans="1:18">
      <c r="A91" s="17">
        <v>2013</v>
      </c>
      <c r="B91" s="18" t="s">
        <v>481</v>
      </c>
      <c r="C91" s="18" t="s">
        <v>482</v>
      </c>
      <c r="D91" s="19">
        <v>3206092</v>
      </c>
      <c r="E91" s="19">
        <v>2</v>
      </c>
      <c r="F91" s="19"/>
      <c r="G91" s="19">
        <v>630</v>
      </c>
      <c r="H91" s="19">
        <v>11.4</v>
      </c>
      <c r="I91" s="19"/>
      <c r="J91" s="19" t="s">
        <v>121</v>
      </c>
      <c r="K91" s="19" t="b">
        <v>1</v>
      </c>
      <c r="L91" s="15">
        <v>2013</v>
      </c>
      <c r="M91" s="16">
        <v>0</v>
      </c>
      <c r="N91" s="16">
        <v>0</v>
      </c>
      <c r="O91" s="16">
        <v>0</v>
      </c>
      <c r="P91" s="16">
        <v>0</v>
      </c>
      <c r="Q91" s="20">
        <v>41529</v>
      </c>
      <c r="R91" s="20">
        <v>41529</v>
      </c>
    </row>
    <row r="92" spans="1:18">
      <c r="A92" s="17">
        <v>2013</v>
      </c>
      <c r="B92" s="18" t="s">
        <v>481</v>
      </c>
      <c r="C92" s="18" t="s">
        <v>482</v>
      </c>
      <c r="D92" s="19">
        <v>3206092</v>
      </c>
      <c r="E92" s="19">
        <v>2</v>
      </c>
      <c r="F92" s="19"/>
      <c r="G92" s="19">
        <v>190</v>
      </c>
      <c r="H92" s="19">
        <v>2.2000000000000002</v>
      </c>
      <c r="I92" s="19"/>
      <c r="J92" s="19" t="s">
        <v>72</v>
      </c>
      <c r="K92" s="19" t="b">
        <v>0</v>
      </c>
      <c r="L92" s="15">
        <v>2013</v>
      </c>
      <c r="M92" s="16">
        <v>4581040.21</v>
      </c>
      <c r="N92" s="16">
        <v>8145720.5199999996</v>
      </c>
      <c r="O92" s="16">
        <v>4831360</v>
      </c>
      <c r="P92" s="16">
        <v>2942515.57</v>
      </c>
      <c r="Q92" s="20">
        <v>41529</v>
      </c>
      <c r="R92" s="20">
        <v>41529</v>
      </c>
    </row>
    <row r="93" spans="1:18">
      <c r="A93" s="17">
        <v>2013</v>
      </c>
      <c r="B93" s="18" t="s">
        <v>481</v>
      </c>
      <c r="C93" s="18" t="s">
        <v>482</v>
      </c>
      <c r="D93" s="19">
        <v>3206092</v>
      </c>
      <c r="E93" s="19">
        <v>2</v>
      </c>
      <c r="F93" s="19"/>
      <c r="G93" s="19">
        <v>780</v>
      </c>
      <c r="H93" s="19" t="s">
        <v>143</v>
      </c>
      <c r="I93" s="19"/>
      <c r="J93" s="19" t="s">
        <v>144</v>
      </c>
      <c r="K93" s="19" t="b">
        <v>1</v>
      </c>
      <c r="L93" s="15">
        <v>2013</v>
      </c>
      <c r="M93" s="16">
        <v>0</v>
      </c>
      <c r="N93" s="16">
        <v>0</v>
      </c>
      <c r="O93" s="16">
        <v>0</v>
      </c>
      <c r="P93" s="16">
        <v>0</v>
      </c>
      <c r="Q93" s="20">
        <v>41529</v>
      </c>
      <c r="R93" s="20">
        <v>41529</v>
      </c>
    </row>
    <row r="94" spans="1:18">
      <c r="A94" s="17">
        <v>2013</v>
      </c>
      <c r="B94" s="18" t="s">
        <v>481</v>
      </c>
      <c r="C94" s="18" t="s">
        <v>482</v>
      </c>
      <c r="D94" s="19">
        <v>3206092</v>
      </c>
      <c r="E94" s="19">
        <v>2</v>
      </c>
      <c r="F94" s="19"/>
      <c r="G94" s="19">
        <v>260</v>
      </c>
      <c r="H94" s="19">
        <v>4.3</v>
      </c>
      <c r="I94" s="19"/>
      <c r="J94" s="19" t="s">
        <v>79</v>
      </c>
      <c r="K94" s="19" t="b">
        <v>1</v>
      </c>
      <c r="L94" s="15">
        <v>2013</v>
      </c>
      <c r="M94" s="16">
        <v>5530000</v>
      </c>
      <c r="N94" s="16">
        <v>8395000</v>
      </c>
      <c r="O94" s="16">
        <v>3500000</v>
      </c>
      <c r="P94" s="16">
        <v>3200000</v>
      </c>
      <c r="Q94" s="20">
        <v>41529</v>
      </c>
      <c r="R94" s="20">
        <v>41529</v>
      </c>
    </row>
    <row r="95" spans="1:18">
      <c r="A95" s="17">
        <v>2013</v>
      </c>
      <c r="B95" s="18" t="s">
        <v>481</v>
      </c>
      <c r="C95" s="18" t="s">
        <v>482</v>
      </c>
      <c r="D95" s="19">
        <v>3206092</v>
      </c>
      <c r="E95" s="19">
        <v>2</v>
      </c>
      <c r="F95" s="19"/>
      <c r="G95" s="19">
        <v>670</v>
      </c>
      <c r="H95" s="19">
        <v>12.1</v>
      </c>
      <c r="I95" s="19"/>
      <c r="J95" s="19" t="s">
        <v>125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41529</v>
      </c>
      <c r="R95" s="20">
        <v>41529</v>
      </c>
    </row>
    <row r="96" spans="1:18">
      <c r="A96" s="17">
        <v>2013</v>
      </c>
      <c r="B96" s="18" t="s">
        <v>481</v>
      </c>
      <c r="C96" s="18" t="s">
        <v>482</v>
      </c>
      <c r="D96" s="19">
        <v>3206092</v>
      </c>
      <c r="E96" s="19">
        <v>2</v>
      </c>
      <c r="F96" s="19"/>
      <c r="G96" s="19">
        <v>510</v>
      </c>
      <c r="H96" s="19">
        <v>9.6999999999999993</v>
      </c>
      <c r="I96" s="19"/>
      <c r="J96" s="19" t="s">
        <v>484</v>
      </c>
      <c r="K96" s="19" t="b">
        <v>1</v>
      </c>
      <c r="L96" s="15">
        <v>2013</v>
      </c>
      <c r="M96" s="16">
        <v>0</v>
      </c>
      <c r="N96" s="16">
        <v>0</v>
      </c>
      <c r="O96" s="16">
        <v>0</v>
      </c>
      <c r="P96" s="16">
        <v>0</v>
      </c>
      <c r="Q96" s="20">
        <v>41529</v>
      </c>
      <c r="R96" s="20">
        <v>41529</v>
      </c>
    </row>
    <row r="97" spans="1:18">
      <c r="A97" s="17">
        <v>2013</v>
      </c>
      <c r="B97" s="18" t="s">
        <v>481</v>
      </c>
      <c r="C97" s="18" t="s">
        <v>482</v>
      </c>
      <c r="D97" s="19">
        <v>3206092</v>
      </c>
      <c r="E97" s="19">
        <v>2</v>
      </c>
      <c r="F97" s="19"/>
      <c r="G97" s="19">
        <v>740</v>
      </c>
      <c r="H97" s="19" t="s">
        <v>136</v>
      </c>
      <c r="I97" s="19"/>
      <c r="J97" s="19" t="s">
        <v>137</v>
      </c>
      <c r="K97" s="19" t="b">
        <v>0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41529</v>
      </c>
      <c r="R97" s="20">
        <v>41529</v>
      </c>
    </row>
    <row r="98" spans="1:18">
      <c r="A98" s="17">
        <v>2013</v>
      </c>
      <c r="B98" s="18" t="s">
        <v>481</v>
      </c>
      <c r="C98" s="18" t="s">
        <v>482</v>
      </c>
      <c r="D98" s="19">
        <v>3206092</v>
      </c>
      <c r="E98" s="19">
        <v>2</v>
      </c>
      <c r="F98" s="19"/>
      <c r="G98" s="19">
        <v>880</v>
      </c>
      <c r="H98" s="19">
        <v>14.1</v>
      </c>
      <c r="I98" s="19"/>
      <c r="J98" s="19" t="s">
        <v>154</v>
      </c>
      <c r="K98" s="19" t="b">
        <v>1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41529</v>
      </c>
      <c r="R98" s="20">
        <v>41529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K18"/>
  <sheetViews>
    <sheetView zoomScaleNormal="100" workbookViewId="0">
      <selection activeCell="H19" sqref="H19"/>
    </sheetView>
  </sheetViews>
  <sheetFormatPr defaultRowHeight="14.25"/>
  <cols>
    <col min="1" max="1" width="5.125" customWidth="1"/>
    <col min="2" max="2" width="0" hidden="1" customWidth="1"/>
    <col min="3" max="3" width="50.75" customWidth="1"/>
    <col min="4" max="7" width="14" hidden="1" customWidth="1"/>
    <col min="8" max="20" width="14" customWidth="1"/>
  </cols>
  <sheetData>
    <row r="1" spans="1:11" ht="15.75">
      <c r="A1" s="423" t="s">
        <v>477</v>
      </c>
    </row>
    <row r="2" spans="1:11" ht="27.75" customHeight="1">
      <c r="A2" s="435" t="s">
        <v>478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4" spans="1:11">
      <c r="A4" s="39" t="s">
        <v>0</v>
      </c>
      <c r="B4" s="351"/>
      <c r="C4" s="350" t="s">
        <v>480</v>
      </c>
      <c r="D4" s="91" t="s">
        <v>433</v>
      </c>
      <c r="E4" s="45" t="s">
        <v>434</v>
      </c>
      <c r="F4" s="45" t="s">
        <v>435</v>
      </c>
      <c r="G4" s="46" t="s">
        <v>435</v>
      </c>
      <c r="H4" s="44">
        <f>Zał.1_WPF_bazowy!I4</f>
        <v>2013</v>
      </c>
      <c r="I4" s="44">
        <f>Zał.1_WPF_bazowy!J4</f>
        <v>2014</v>
      </c>
      <c r="J4" s="44">
        <f>Zał.1_WPF_bazowy!K4</f>
        <v>2015</v>
      </c>
      <c r="K4" s="44">
        <f>Zał.1_WPF_bazowy!L4</f>
        <v>2016</v>
      </c>
    </row>
    <row r="5" spans="1:11">
      <c r="A5" s="47">
        <v>1</v>
      </c>
      <c r="B5" s="376"/>
      <c r="C5" s="353" t="s">
        <v>113</v>
      </c>
      <c r="D5" s="96" t="s">
        <v>31</v>
      </c>
      <c r="E5" s="69" t="s">
        <v>31</v>
      </c>
      <c r="F5" s="69" t="s">
        <v>31</v>
      </c>
      <c r="G5" s="70" t="s">
        <v>31</v>
      </c>
      <c r="H5" s="71" t="s">
        <v>31</v>
      </c>
      <c r="I5" s="72" t="s">
        <v>31</v>
      </c>
      <c r="J5" s="72" t="s">
        <v>31</v>
      </c>
      <c r="K5" s="72" t="s">
        <v>31</v>
      </c>
    </row>
    <row r="6" spans="1:11">
      <c r="A6" s="48" t="s">
        <v>164</v>
      </c>
      <c r="B6" s="354"/>
      <c r="C6" s="355" t="s">
        <v>479</v>
      </c>
      <c r="D6" s="93">
        <f>105385456.4779</f>
        <v>105385456.4779</v>
      </c>
      <c r="E6" s="55">
        <f>164606127.3552</f>
        <v>164606127.35519999</v>
      </c>
      <c r="F6" s="55">
        <f>136552771.6339</f>
        <v>136552771.63389999</v>
      </c>
      <c r="G6" s="56">
        <f>149914747.218</f>
        <v>149914747.21799999</v>
      </c>
      <c r="H6" s="57">
        <f>Zał.1_WPF_bazowy!I63</f>
        <v>6782288.0599999996</v>
      </c>
      <c r="I6" s="57">
        <f>Zał.1_WPF_bazowy!J63</f>
        <v>6758808</v>
      </c>
      <c r="J6" s="57">
        <f>Zał.1_WPF_bazowy!K63</f>
        <v>6961573</v>
      </c>
      <c r="K6" s="57">
        <f>Zał.1_WPF_bazowy!L63</f>
        <v>7170420</v>
      </c>
    </row>
    <row r="8" spans="1:11">
      <c r="A8" s="39" t="s">
        <v>0</v>
      </c>
      <c r="C8" s="350" t="s">
        <v>480</v>
      </c>
      <c r="H8" s="40">
        <f>Zał.1_WPF_bazowy!M4</f>
        <v>2017</v>
      </c>
      <c r="I8" s="40">
        <f>Zał.1_WPF_bazowy!N4</f>
        <v>2018</v>
      </c>
      <c r="J8" s="40">
        <f>Zał.1_WPF_bazowy!O4</f>
        <v>2019</v>
      </c>
      <c r="K8" s="40">
        <f>Zał.1_WPF_bazowy!P4</f>
        <v>2020</v>
      </c>
    </row>
    <row r="9" spans="1:11">
      <c r="A9" s="47">
        <v>1</v>
      </c>
      <c r="C9" s="353" t="s">
        <v>113</v>
      </c>
      <c r="H9" s="72" t="s">
        <v>31</v>
      </c>
      <c r="I9" s="72" t="s">
        <v>31</v>
      </c>
      <c r="J9" s="72" t="s">
        <v>31</v>
      </c>
      <c r="K9" s="72" t="s">
        <v>31</v>
      </c>
    </row>
    <row r="10" spans="1:11">
      <c r="A10" s="48" t="s">
        <v>164</v>
      </c>
      <c r="C10" s="355" t="s">
        <v>479</v>
      </c>
      <c r="H10" s="58">
        <f>Zał.1_WPF_bazowy!M63</f>
        <v>7385532</v>
      </c>
      <c r="I10" s="58">
        <f>Zał.1_WPF_bazowy!N63</f>
        <v>7607098</v>
      </c>
      <c r="J10" s="58">
        <f>Zał.1_WPF_bazowy!O63</f>
        <v>7835311</v>
      </c>
      <c r="K10" s="58">
        <f>Zał.1_WPF_bazowy!P63</f>
        <v>8070371</v>
      </c>
    </row>
    <row r="12" spans="1:11">
      <c r="A12" s="39" t="s">
        <v>0</v>
      </c>
      <c r="C12" s="350" t="s">
        <v>480</v>
      </c>
      <c r="H12" s="40">
        <f>Zał.1_WPF_bazowy!Q4</f>
        <v>2021</v>
      </c>
      <c r="I12" s="40">
        <f>Zał.1_WPF_bazowy!R4</f>
        <v>2022</v>
      </c>
      <c r="J12" s="40">
        <f>Zał.1_WPF_bazowy!S4</f>
        <v>2023</v>
      </c>
      <c r="K12" s="40">
        <f>Zał.1_WPF_bazowy!T4</f>
        <v>2024</v>
      </c>
    </row>
    <row r="13" spans="1:11">
      <c r="A13" s="47">
        <v>1</v>
      </c>
      <c r="C13" s="353" t="s">
        <v>113</v>
      </c>
      <c r="H13" s="72" t="s">
        <v>31</v>
      </c>
      <c r="I13" s="72" t="s">
        <v>31</v>
      </c>
      <c r="J13" s="72" t="s">
        <v>31</v>
      </c>
      <c r="K13" s="72" t="s">
        <v>31</v>
      </c>
    </row>
    <row r="14" spans="1:11">
      <c r="A14" s="48" t="s">
        <v>164</v>
      </c>
      <c r="C14" s="355" t="s">
        <v>479</v>
      </c>
      <c r="H14" s="58">
        <f>Zał.1_WPF_bazowy!Q63</f>
        <v>8312482</v>
      </c>
      <c r="I14" s="58">
        <f>Zał.1_WPF_bazowy!R63</f>
        <v>8561856</v>
      </c>
      <c r="J14" s="58">
        <f>Zał.1_WPF_bazowy!S63</f>
        <v>8818712</v>
      </c>
      <c r="K14" s="58">
        <f>Zał.1_WPF_bazowy!T63</f>
        <v>9083273</v>
      </c>
    </row>
    <row r="16" spans="1:11">
      <c r="A16" s="39" t="s">
        <v>0</v>
      </c>
      <c r="C16" s="350" t="s">
        <v>480</v>
      </c>
      <c r="H16" s="40">
        <f>Zał.1_WPF_bazowy!U4</f>
        <v>2025</v>
      </c>
    </row>
    <row r="17" spans="1:8">
      <c r="A17" s="47">
        <v>1</v>
      </c>
      <c r="C17" s="353" t="s">
        <v>113</v>
      </c>
      <c r="H17" s="72" t="s">
        <v>31</v>
      </c>
    </row>
    <row r="18" spans="1:8">
      <c r="A18" s="48" t="s">
        <v>164</v>
      </c>
      <c r="C18" s="355" t="s">
        <v>479</v>
      </c>
      <c r="H18" s="58">
        <f>Zał.1_WPF_bazowy!U63</f>
        <v>9355771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Zał.1_WPF_bazowy</vt:lpstr>
      <vt:lpstr>rysunki</vt:lpstr>
      <vt:lpstr>WPF_AnalizaWsk_Projektowanie</vt:lpstr>
      <vt:lpstr>definicja</vt:lpstr>
      <vt:lpstr>DaneZrodlowe</vt:lpstr>
      <vt:lpstr>DaneZrodloweDoWsk</vt:lpstr>
      <vt:lpstr>info do spr finansow</vt:lpstr>
      <vt:lpstr>WPF_AnalizaWsk_Projektowanie!Obszar_wydruku</vt:lpstr>
      <vt:lpstr>Zał.1_WPF_bazowy!Obszar_wydruku</vt:lpstr>
      <vt:lpstr>WPF_AnalizaWsk_Projektowanie!Tytuły_wydruku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MBachta</cp:lastModifiedBy>
  <cp:lastPrinted>2013-09-13T11:38:06Z</cp:lastPrinted>
  <dcterms:created xsi:type="dcterms:W3CDTF">2010-09-17T02:30:46Z</dcterms:created>
  <dcterms:modified xsi:type="dcterms:W3CDTF">2013-09-16T08:59:41Z</dcterms:modified>
</cp:coreProperties>
</file>