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0035"/>
  </bookViews>
  <sheets>
    <sheet name="Zał.1_WPF_bazowy" sheetId="3" r:id="rId1"/>
  </sheets>
  <externalReferences>
    <externalReference r:id="rId2"/>
  </externalReferences>
  <definedNames>
    <definedName name="_xlnm._FilterDatabase" localSheetId="0" hidden="1">Zał.1_WPF_bazowy!$A$4:$A$99</definedName>
    <definedName name="_xlnm.Print_Area" localSheetId="0">Zał.1_WPF_bazowy!$B$1:$AL$99</definedName>
  </definedNames>
  <calcPr calcId="125725"/>
</workbook>
</file>

<file path=xl/calcChain.xml><?xml version="1.0" encoding="utf-8"?>
<calcChain xmlns="http://schemas.openxmlformats.org/spreadsheetml/2006/main">
  <c r="X246" i="3"/>
  <c r="E187"/>
  <c r="E186"/>
  <c r="E185"/>
  <c r="E179"/>
  <c r="E178"/>
  <c r="E177"/>
  <c r="AB119"/>
  <c r="L119"/>
  <c r="N118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AL95"/>
  <c r="AK95"/>
  <c r="AJ95"/>
  <c r="AI95"/>
  <c r="AH95"/>
  <c r="AG95"/>
  <c r="AF95"/>
  <c r="AE95"/>
  <c r="AD95"/>
  <c r="AC95"/>
  <c r="AB95"/>
  <c r="AA95"/>
  <c r="Z95"/>
  <c r="Y95"/>
  <c r="X95"/>
  <c r="W95"/>
  <c r="V95"/>
  <c r="V140" s="1"/>
  <c r="U95"/>
  <c r="T95"/>
  <c r="S95"/>
  <c r="R95"/>
  <c r="Q95"/>
  <c r="P95"/>
  <c r="O95"/>
  <c r="N95"/>
  <c r="M95"/>
  <c r="L95"/>
  <c r="K95"/>
  <c r="J95"/>
  <c r="I95"/>
  <c r="H95"/>
  <c r="G95"/>
  <c r="F95"/>
  <c r="E95"/>
  <c r="AL94"/>
  <c r="AK94"/>
  <c r="AL118" s="1"/>
  <c r="AJ94"/>
  <c r="AK118" s="1"/>
  <c r="AI94"/>
  <c r="AJ118" s="1"/>
  <c r="AH94"/>
  <c r="AI118" s="1"/>
  <c r="AG94"/>
  <c r="AH118" s="1"/>
  <c r="AF94"/>
  <c r="AG118" s="1"/>
  <c r="AE94"/>
  <c r="AF118" s="1"/>
  <c r="AD94"/>
  <c r="AE118" s="1"/>
  <c r="AC94"/>
  <c r="AD118" s="1"/>
  <c r="AB94"/>
  <c r="AC118" s="1"/>
  <c r="AA94"/>
  <c r="AB118" s="1"/>
  <c r="Z94"/>
  <c r="AA118" s="1"/>
  <c r="Y94"/>
  <c r="Z118" s="1"/>
  <c r="X94"/>
  <c r="Y118" s="1"/>
  <c r="W94"/>
  <c r="X118" s="1"/>
  <c r="V94"/>
  <c r="W118" s="1"/>
  <c r="U94"/>
  <c r="V118" s="1"/>
  <c r="T94"/>
  <c r="U118" s="1"/>
  <c r="S94"/>
  <c r="T118" s="1"/>
  <c r="R94"/>
  <c r="S118" s="1"/>
  <c r="Q94"/>
  <c r="R118" s="1"/>
  <c r="P94"/>
  <c r="Q118" s="1"/>
  <c r="O94"/>
  <c r="P118" s="1"/>
  <c r="N94"/>
  <c r="O118" s="1"/>
  <c r="M94"/>
  <c r="L94"/>
  <c r="M118" s="1"/>
  <c r="K94"/>
  <c r="L118" s="1"/>
  <c r="J94"/>
  <c r="K118" s="1"/>
  <c r="I94"/>
  <c r="H94"/>
  <c r="G94"/>
  <c r="F94"/>
  <c r="E94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AL91"/>
  <c r="AL148" s="1"/>
  <c r="AK91"/>
  <c r="AJ91"/>
  <c r="AI91"/>
  <c r="AH91"/>
  <c r="AG91"/>
  <c r="AF91"/>
  <c r="AE91"/>
  <c r="AD91"/>
  <c r="AC91"/>
  <c r="AB91"/>
  <c r="AA91"/>
  <c r="Z91"/>
  <c r="Y91"/>
  <c r="X91"/>
  <c r="W91"/>
  <c r="V91"/>
  <c r="V148" s="1"/>
  <c r="U91"/>
  <c r="T91"/>
  <c r="S91"/>
  <c r="R91"/>
  <c r="Q91"/>
  <c r="P91"/>
  <c r="O91"/>
  <c r="N91"/>
  <c r="M91"/>
  <c r="L91"/>
  <c r="K91"/>
  <c r="J91"/>
  <c r="I91"/>
  <c r="H91"/>
  <c r="G91"/>
  <c r="F91"/>
  <c r="E91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AL88"/>
  <c r="AK88"/>
  <c r="AJ88"/>
  <c r="AJ139" s="1"/>
  <c r="AI88"/>
  <c r="AH88"/>
  <c r="AG88"/>
  <c r="AF88"/>
  <c r="AE88"/>
  <c r="AD88"/>
  <c r="AC88"/>
  <c r="AB88"/>
  <c r="AA88"/>
  <c r="Z88"/>
  <c r="Y88"/>
  <c r="X88"/>
  <c r="W88"/>
  <c r="V88"/>
  <c r="U88"/>
  <c r="T88"/>
  <c r="T139" s="1"/>
  <c r="S88"/>
  <c r="R88"/>
  <c r="Q88"/>
  <c r="P88"/>
  <c r="O88"/>
  <c r="N88"/>
  <c r="M88"/>
  <c r="L88"/>
  <c r="K88"/>
  <c r="J88"/>
  <c r="I88"/>
  <c r="H88"/>
  <c r="G88"/>
  <c r="F88"/>
  <c r="E88"/>
  <c r="AL87"/>
  <c r="AL115" s="1"/>
  <c r="AK87"/>
  <c r="AK115" s="1"/>
  <c r="AJ87"/>
  <c r="AJ115" s="1"/>
  <c r="AI87"/>
  <c r="AI115" s="1"/>
  <c r="AH87"/>
  <c r="AH115" s="1"/>
  <c r="AG87"/>
  <c r="AG115" s="1"/>
  <c r="AF87"/>
  <c r="AF115" s="1"/>
  <c r="AE87"/>
  <c r="AE115" s="1"/>
  <c r="AD87"/>
  <c r="AD115" s="1"/>
  <c r="AC87"/>
  <c r="AC115" s="1"/>
  <c r="AB87"/>
  <c r="AB115" s="1"/>
  <c r="AA87"/>
  <c r="AA115" s="1"/>
  <c r="Z87"/>
  <c r="Z115" s="1"/>
  <c r="Y87"/>
  <c r="Y115" s="1"/>
  <c r="X87"/>
  <c r="X115" s="1"/>
  <c r="W87"/>
  <c r="W115" s="1"/>
  <c r="V87"/>
  <c r="V115" s="1"/>
  <c r="U87"/>
  <c r="U115" s="1"/>
  <c r="T87"/>
  <c r="T115" s="1"/>
  <c r="S87"/>
  <c r="S115" s="1"/>
  <c r="R87"/>
  <c r="R115" s="1"/>
  <c r="Q87"/>
  <c r="Q115" s="1"/>
  <c r="P87"/>
  <c r="P115" s="1"/>
  <c r="O87"/>
  <c r="O115" s="1"/>
  <c r="N87"/>
  <c r="N115" s="1"/>
  <c r="M87"/>
  <c r="M115" s="1"/>
  <c r="L87"/>
  <c r="L115" s="1"/>
  <c r="K87"/>
  <c r="K115" s="1"/>
  <c r="J87"/>
  <c r="I87"/>
  <c r="H87"/>
  <c r="G87"/>
  <c r="F87"/>
  <c r="E87"/>
  <c r="AL86"/>
  <c r="AK86"/>
  <c r="AJ86"/>
  <c r="AJ123" s="1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AL85"/>
  <c r="AL138" s="1"/>
  <c r="AK85"/>
  <c r="AL119" s="1"/>
  <c r="AJ85"/>
  <c r="AI85"/>
  <c r="AI138" s="1"/>
  <c r="AH85"/>
  <c r="AI119" s="1"/>
  <c r="AG85"/>
  <c r="AH119" s="1"/>
  <c r="AF85"/>
  <c r="AE85"/>
  <c r="AE138" s="1"/>
  <c r="AD85"/>
  <c r="AE119" s="1"/>
  <c r="AC85"/>
  <c r="AD119" s="1"/>
  <c r="AB85"/>
  <c r="AA85"/>
  <c r="AA138" s="1"/>
  <c r="Z85"/>
  <c r="AA119" s="1"/>
  <c r="Y85"/>
  <c r="X85"/>
  <c r="W85"/>
  <c r="W138" s="1"/>
  <c r="V85"/>
  <c r="W119" s="1"/>
  <c r="U85"/>
  <c r="V119" s="1"/>
  <c r="T85"/>
  <c r="S85"/>
  <c r="S138" s="1"/>
  <c r="R85"/>
  <c r="S119" s="1"/>
  <c r="Q85"/>
  <c r="R119" s="1"/>
  <c r="P85"/>
  <c r="O85"/>
  <c r="O138" s="1"/>
  <c r="N85"/>
  <c r="O119" s="1"/>
  <c r="M85"/>
  <c r="N119" s="1"/>
  <c r="L85"/>
  <c r="K85"/>
  <c r="K138" s="1"/>
  <c r="J85"/>
  <c r="K119" s="1"/>
  <c r="I85"/>
  <c r="H85"/>
  <c r="G85"/>
  <c r="F85"/>
  <c r="E85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AL81"/>
  <c r="AL137" s="1"/>
  <c r="AK81"/>
  <c r="AL243" s="1"/>
  <c r="AJ81"/>
  <c r="AK243" s="1"/>
  <c r="AI81"/>
  <c r="AJ243" s="1"/>
  <c r="AH81"/>
  <c r="AG81"/>
  <c r="AH243" s="1"/>
  <c r="AF81"/>
  <c r="AG243" s="1"/>
  <c r="AE81"/>
  <c r="AF243" s="1"/>
  <c r="AD81"/>
  <c r="AC81"/>
  <c r="AD243" s="1"/>
  <c r="AB81"/>
  <c r="AC243" s="1"/>
  <c r="AA81"/>
  <c r="AB243" s="1"/>
  <c r="Z81"/>
  <c r="Y81"/>
  <c r="Z243" s="1"/>
  <c r="X81"/>
  <c r="Y243" s="1"/>
  <c r="W81"/>
  <c r="X243" s="1"/>
  <c r="V81"/>
  <c r="U81"/>
  <c r="V243" s="1"/>
  <c r="T81"/>
  <c r="U243" s="1"/>
  <c r="S81"/>
  <c r="T243" s="1"/>
  <c r="R81"/>
  <c r="Q81"/>
  <c r="R243" s="1"/>
  <c r="P81"/>
  <c r="Q243" s="1"/>
  <c r="O81"/>
  <c r="P243" s="1"/>
  <c r="N81"/>
  <c r="M81"/>
  <c r="N243" s="1"/>
  <c r="L81"/>
  <c r="M243" s="1"/>
  <c r="K81"/>
  <c r="L243" s="1"/>
  <c r="J81"/>
  <c r="I81"/>
  <c r="I137" s="1"/>
  <c r="H81"/>
  <c r="I243" s="1"/>
  <c r="G81"/>
  <c r="F81"/>
  <c r="E81"/>
  <c r="F243" s="1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AL78"/>
  <c r="AL135" s="1"/>
  <c r="AK78"/>
  <c r="AL237" s="1"/>
  <c r="AJ78"/>
  <c r="AJ135" s="1"/>
  <c r="AI78"/>
  <c r="AJ237" s="1"/>
  <c r="AH78"/>
  <c r="AI237" s="1"/>
  <c r="AG78"/>
  <c r="AH237" s="1"/>
  <c r="AF78"/>
  <c r="AE78"/>
  <c r="AE135" s="1"/>
  <c r="AD78"/>
  <c r="AE237" s="1"/>
  <c r="AC78"/>
  <c r="AD237" s="1"/>
  <c r="AB78"/>
  <c r="AA78"/>
  <c r="AB237" s="1"/>
  <c r="Z78"/>
  <c r="AA237" s="1"/>
  <c r="Y78"/>
  <c r="Z237" s="1"/>
  <c r="X78"/>
  <c r="X135" s="1"/>
  <c r="W78"/>
  <c r="X237" s="1"/>
  <c r="V78"/>
  <c r="W237" s="1"/>
  <c r="U78"/>
  <c r="V237" s="1"/>
  <c r="T78"/>
  <c r="T135" s="1"/>
  <c r="S78"/>
  <c r="T237" s="1"/>
  <c r="R78"/>
  <c r="S237" s="1"/>
  <c r="Q78"/>
  <c r="R237" s="1"/>
  <c r="P78"/>
  <c r="O78"/>
  <c r="P237" s="1"/>
  <c r="N78"/>
  <c r="O237" s="1"/>
  <c r="M78"/>
  <c r="N237" s="1"/>
  <c r="L78"/>
  <c r="K78"/>
  <c r="L237" s="1"/>
  <c r="J78"/>
  <c r="I78"/>
  <c r="H78"/>
  <c r="I237" s="1"/>
  <c r="G78"/>
  <c r="F78"/>
  <c r="E78"/>
  <c r="F237" s="1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AL76"/>
  <c r="AK76"/>
  <c r="AJ76"/>
  <c r="AI76"/>
  <c r="AH76"/>
  <c r="AG76"/>
  <c r="AF76"/>
  <c r="AE76"/>
  <c r="AD76"/>
  <c r="AC76"/>
  <c r="AB76"/>
  <c r="AA76"/>
  <c r="Z76"/>
  <c r="Y76"/>
  <c r="X76"/>
  <c r="X133" s="1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AL75"/>
  <c r="AL132" s="1"/>
  <c r="AK75"/>
  <c r="AL233" s="1"/>
  <c r="AJ75"/>
  <c r="AK233" s="1"/>
  <c r="AI75"/>
  <c r="AJ233" s="1"/>
  <c r="AH75"/>
  <c r="AI233" s="1"/>
  <c r="AG75"/>
  <c r="AH233" s="1"/>
  <c r="AF75"/>
  <c r="AG233" s="1"/>
  <c r="AE75"/>
  <c r="AF233" s="1"/>
  <c r="AD75"/>
  <c r="AE233" s="1"/>
  <c r="AC75"/>
  <c r="AD233" s="1"/>
  <c r="AB75"/>
  <c r="AC233" s="1"/>
  <c r="AA75"/>
  <c r="AB233" s="1"/>
  <c r="Z75"/>
  <c r="AA233" s="1"/>
  <c r="Y75"/>
  <c r="Z233" s="1"/>
  <c r="X75"/>
  <c r="Y233" s="1"/>
  <c r="W75"/>
  <c r="X233" s="1"/>
  <c r="V75"/>
  <c r="W233" s="1"/>
  <c r="U75"/>
  <c r="V233" s="1"/>
  <c r="T75"/>
  <c r="U233" s="1"/>
  <c r="S75"/>
  <c r="T233" s="1"/>
  <c r="R75"/>
  <c r="S233" s="1"/>
  <c r="Q75"/>
  <c r="R233" s="1"/>
  <c r="P75"/>
  <c r="Q233" s="1"/>
  <c r="O75"/>
  <c r="P233" s="1"/>
  <c r="N75"/>
  <c r="O233" s="1"/>
  <c r="M75"/>
  <c r="N233" s="1"/>
  <c r="L75"/>
  <c r="M233" s="1"/>
  <c r="K75"/>
  <c r="L233" s="1"/>
  <c r="J75"/>
  <c r="I75"/>
  <c r="H75"/>
  <c r="I233" s="1"/>
  <c r="G75"/>
  <c r="F75"/>
  <c r="E75"/>
  <c r="F233" s="1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L72"/>
  <c r="AK72"/>
  <c r="AL230" s="1"/>
  <c r="AJ72"/>
  <c r="AI72"/>
  <c r="AJ230" s="1"/>
  <c r="AH72"/>
  <c r="AI230" s="1"/>
  <c r="AG72"/>
  <c r="AH230" s="1"/>
  <c r="AF72"/>
  <c r="AE72"/>
  <c r="AF230" s="1"/>
  <c r="AD72"/>
  <c r="AE230" s="1"/>
  <c r="AC72"/>
  <c r="AD230" s="1"/>
  <c r="AB72"/>
  <c r="AA72"/>
  <c r="AB230" s="1"/>
  <c r="Z72"/>
  <c r="AA230" s="1"/>
  <c r="Y72"/>
  <c r="Z230" s="1"/>
  <c r="X72"/>
  <c r="W72"/>
  <c r="X230" s="1"/>
  <c r="V72"/>
  <c r="W230" s="1"/>
  <c r="U72"/>
  <c r="V230" s="1"/>
  <c r="T72"/>
  <c r="S72"/>
  <c r="T230" s="1"/>
  <c r="R72"/>
  <c r="S230" s="1"/>
  <c r="Q72"/>
  <c r="R230" s="1"/>
  <c r="P72"/>
  <c r="O72"/>
  <c r="P230" s="1"/>
  <c r="N72"/>
  <c r="O230" s="1"/>
  <c r="M72"/>
  <c r="N230" s="1"/>
  <c r="L72"/>
  <c r="K72"/>
  <c r="L230" s="1"/>
  <c r="J72"/>
  <c r="K230" s="1"/>
  <c r="I72"/>
  <c r="H72"/>
  <c r="I230" s="1"/>
  <c r="G72"/>
  <c r="F72"/>
  <c r="H230" s="1"/>
  <c r="E72"/>
  <c r="F230" s="1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AL67"/>
  <c r="AK67"/>
  <c r="AL248" s="1"/>
  <c r="AJ67"/>
  <c r="AK248" s="1"/>
  <c r="AI67"/>
  <c r="AJ248" s="1"/>
  <c r="AH67"/>
  <c r="AI248" s="1"/>
  <c r="AG67"/>
  <c r="AH248" s="1"/>
  <c r="AF67"/>
  <c r="AG248" s="1"/>
  <c r="AE67"/>
  <c r="AF248" s="1"/>
  <c r="AD67"/>
  <c r="AE248" s="1"/>
  <c r="AC67"/>
  <c r="AD248" s="1"/>
  <c r="AB67"/>
  <c r="AC248" s="1"/>
  <c r="AA67"/>
  <c r="AB248" s="1"/>
  <c r="Z67"/>
  <c r="AA248" s="1"/>
  <c r="Y67"/>
  <c r="Z248" s="1"/>
  <c r="X67"/>
  <c r="Y248" s="1"/>
  <c r="W67"/>
  <c r="X248" s="1"/>
  <c r="V67"/>
  <c r="W248" s="1"/>
  <c r="U67"/>
  <c r="V248" s="1"/>
  <c r="T67"/>
  <c r="U248" s="1"/>
  <c r="S67"/>
  <c r="T248" s="1"/>
  <c r="R67"/>
  <c r="S248" s="1"/>
  <c r="Q67"/>
  <c r="R248" s="1"/>
  <c r="P67"/>
  <c r="Q248" s="1"/>
  <c r="O67"/>
  <c r="P248" s="1"/>
  <c r="N67"/>
  <c r="O248" s="1"/>
  <c r="M67"/>
  <c r="N248" s="1"/>
  <c r="L67"/>
  <c r="M248" s="1"/>
  <c r="K67"/>
  <c r="J67"/>
  <c r="I67"/>
  <c r="H67"/>
  <c r="I248" s="1"/>
  <c r="G67"/>
  <c r="F67"/>
  <c r="E67"/>
  <c r="F248" s="1"/>
  <c r="AL66"/>
  <c r="AK66"/>
  <c r="AL247" s="1"/>
  <c r="AJ66"/>
  <c r="AK247" s="1"/>
  <c r="AI66"/>
  <c r="AJ247" s="1"/>
  <c r="AH66"/>
  <c r="AI247" s="1"/>
  <c r="AG66"/>
  <c r="AH247" s="1"/>
  <c r="AF66"/>
  <c r="AG247" s="1"/>
  <c r="AE66"/>
  <c r="AF247" s="1"/>
  <c r="AD66"/>
  <c r="AE247" s="1"/>
  <c r="AC66"/>
  <c r="AD247" s="1"/>
  <c r="AB66"/>
  <c r="AC247" s="1"/>
  <c r="AA66"/>
  <c r="AB247" s="1"/>
  <c r="Z66"/>
  <c r="AA247" s="1"/>
  <c r="Y66"/>
  <c r="Z247" s="1"/>
  <c r="X66"/>
  <c r="Y247" s="1"/>
  <c r="W66"/>
  <c r="X247" s="1"/>
  <c r="V66"/>
  <c r="W247" s="1"/>
  <c r="U66"/>
  <c r="V247" s="1"/>
  <c r="T66"/>
  <c r="U247" s="1"/>
  <c r="S66"/>
  <c r="T247" s="1"/>
  <c r="R66"/>
  <c r="S247" s="1"/>
  <c r="Q66"/>
  <c r="R247" s="1"/>
  <c r="P66"/>
  <c r="Q247" s="1"/>
  <c r="O66"/>
  <c r="P247" s="1"/>
  <c r="N66"/>
  <c r="O247" s="1"/>
  <c r="M66"/>
  <c r="N247" s="1"/>
  <c r="L66"/>
  <c r="M247" s="1"/>
  <c r="K66"/>
  <c r="L247" s="1"/>
  <c r="J66"/>
  <c r="I66"/>
  <c r="H66"/>
  <c r="I247" s="1"/>
  <c r="G66"/>
  <c r="F66"/>
  <c r="E66"/>
  <c r="F247" s="1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AL64"/>
  <c r="AK64"/>
  <c r="AL246" s="1"/>
  <c r="AJ64"/>
  <c r="AK246" s="1"/>
  <c r="AI64"/>
  <c r="AJ246" s="1"/>
  <c r="AH64"/>
  <c r="AI246" s="1"/>
  <c r="AG64"/>
  <c r="AH246" s="1"/>
  <c r="AF64"/>
  <c r="AG246" s="1"/>
  <c r="AE64"/>
  <c r="AF246" s="1"/>
  <c r="AD64"/>
  <c r="AE246" s="1"/>
  <c r="AC64"/>
  <c r="AD246" s="1"/>
  <c r="AB64"/>
  <c r="AC246" s="1"/>
  <c r="AA64"/>
  <c r="AB246" s="1"/>
  <c r="Z64"/>
  <c r="AA246" s="1"/>
  <c r="Y64"/>
  <c r="Z246" s="1"/>
  <c r="X64"/>
  <c r="Y246" s="1"/>
  <c r="W64"/>
  <c r="V64"/>
  <c r="W246" s="1"/>
  <c r="U64"/>
  <c r="T64"/>
  <c r="S64"/>
  <c r="R64"/>
  <c r="Q64"/>
  <c r="P64"/>
  <c r="O64"/>
  <c r="N64"/>
  <c r="M64"/>
  <c r="L64"/>
  <c r="K64"/>
  <c r="J64"/>
  <c r="I64"/>
  <c r="H64"/>
  <c r="G64"/>
  <c r="H246" s="1"/>
  <c r="F64"/>
  <c r="E64"/>
  <c r="AL63"/>
  <c r="AL224" s="1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P129" s="1"/>
  <c r="O60"/>
  <c r="N60"/>
  <c r="M60"/>
  <c r="L60"/>
  <c r="K60"/>
  <c r="J60"/>
  <c r="I60"/>
  <c r="H60"/>
  <c r="G60"/>
  <c r="F60"/>
  <c r="E60"/>
  <c r="V59"/>
  <c r="P58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AL54"/>
  <c r="AK54"/>
  <c r="AK59" s="1"/>
  <c r="AJ54"/>
  <c r="AI54"/>
  <c r="AH54"/>
  <c r="AG54"/>
  <c r="AG59" s="1"/>
  <c r="AF54"/>
  <c r="AE54"/>
  <c r="AD54"/>
  <c r="AC54"/>
  <c r="AC59" s="1"/>
  <c r="AB54"/>
  <c r="AA54"/>
  <c r="Z54"/>
  <c r="Y54"/>
  <c r="Y59" s="1"/>
  <c r="X54"/>
  <c r="W54"/>
  <c r="V54"/>
  <c r="U54"/>
  <c r="U59" s="1"/>
  <c r="T54"/>
  <c r="T58" s="1"/>
  <c r="S54"/>
  <c r="R54"/>
  <c r="Q54"/>
  <c r="Q59" s="1"/>
  <c r="P54"/>
  <c r="O54"/>
  <c r="N54"/>
  <c r="M54"/>
  <c r="M59" s="1"/>
  <c r="L54"/>
  <c r="K54"/>
  <c r="J54"/>
  <c r="I54"/>
  <c r="I59" s="1"/>
  <c r="H54"/>
  <c r="G54"/>
  <c r="F54"/>
  <c r="E54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I112" s="1"/>
  <c r="H50"/>
  <c r="G50"/>
  <c r="F50"/>
  <c r="E50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I111" s="1"/>
  <c r="H49"/>
  <c r="G49"/>
  <c r="F49"/>
  <c r="E49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AL44"/>
  <c r="AK44"/>
  <c r="AK165" s="1"/>
  <c r="AJ44"/>
  <c r="AI44"/>
  <c r="AI165" s="1"/>
  <c r="AH44"/>
  <c r="AG44"/>
  <c r="AG165" s="1"/>
  <c r="AF44"/>
  <c r="AE44"/>
  <c r="AE165" s="1"/>
  <c r="AD44"/>
  <c r="AC44"/>
  <c r="AC165" s="1"/>
  <c r="AB44"/>
  <c r="AA44"/>
  <c r="AA165" s="1"/>
  <c r="Z44"/>
  <c r="Y44"/>
  <c r="Y165" s="1"/>
  <c r="X44"/>
  <c r="W44"/>
  <c r="W165" s="1"/>
  <c r="V44"/>
  <c r="U44"/>
  <c r="U165" s="1"/>
  <c r="T44"/>
  <c r="S44"/>
  <c r="S165" s="1"/>
  <c r="R44"/>
  <c r="Q44"/>
  <c r="Q165" s="1"/>
  <c r="P44"/>
  <c r="O44"/>
  <c r="O165" s="1"/>
  <c r="N44"/>
  <c r="M44"/>
  <c r="M165" s="1"/>
  <c r="L44"/>
  <c r="K44"/>
  <c r="K165" s="1"/>
  <c r="J44"/>
  <c r="I44"/>
  <c r="I165" s="1"/>
  <c r="H44"/>
  <c r="G44"/>
  <c r="F44"/>
  <c r="E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I114" s="1"/>
  <c r="H43"/>
  <c r="G43"/>
  <c r="F43"/>
  <c r="E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I113" s="1"/>
  <c r="H42"/>
  <c r="G42"/>
  <c r="F42"/>
  <c r="E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AL40"/>
  <c r="AK40"/>
  <c r="AK164" s="1"/>
  <c r="AJ40"/>
  <c r="AI40"/>
  <c r="AH40"/>
  <c r="AG40"/>
  <c r="AG164" s="1"/>
  <c r="AF40"/>
  <c r="AE40"/>
  <c r="AD40"/>
  <c r="AC40"/>
  <c r="AC164" s="1"/>
  <c r="AB40"/>
  <c r="AA40"/>
  <c r="Z40"/>
  <c r="Y40"/>
  <c r="Y164" s="1"/>
  <c r="X40"/>
  <c r="W40"/>
  <c r="V40"/>
  <c r="U40"/>
  <c r="U164" s="1"/>
  <c r="T40"/>
  <c r="S40"/>
  <c r="R40"/>
  <c r="Q40"/>
  <c r="Q164" s="1"/>
  <c r="P40"/>
  <c r="O40"/>
  <c r="N40"/>
  <c r="M40"/>
  <c r="M164" s="1"/>
  <c r="L40"/>
  <c r="K40"/>
  <c r="J40"/>
  <c r="I40"/>
  <c r="I164" s="1"/>
  <c r="H40"/>
  <c r="G40"/>
  <c r="F40"/>
  <c r="E40"/>
  <c r="AL39"/>
  <c r="AK39"/>
  <c r="AJ39"/>
  <c r="AI39"/>
  <c r="AH39"/>
  <c r="AG39"/>
  <c r="AF39"/>
  <c r="AE39"/>
  <c r="AD39"/>
  <c r="AC39"/>
  <c r="AB39"/>
  <c r="AA39"/>
  <c r="Z39"/>
  <c r="Y39"/>
  <c r="X39"/>
  <c r="W39"/>
  <c r="X117" s="1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L36"/>
  <c r="AK36"/>
  <c r="AK158" s="1"/>
  <c r="AJ36"/>
  <c r="AI36"/>
  <c r="AH36"/>
  <c r="AG36"/>
  <c r="AG158" s="1"/>
  <c r="AF36"/>
  <c r="AE36"/>
  <c r="AD36"/>
  <c r="AC36"/>
  <c r="AC158" s="1"/>
  <c r="AB36"/>
  <c r="AA36"/>
  <c r="Z36"/>
  <c r="Y36"/>
  <c r="Y158" s="1"/>
  <c r="X36"/>
  <c r="W36"/>
  <c r="V36"/>
  <c r="U36"/>
  <c r="U158" s="1"/>
  <c r="T36"/>
  <c r="S36"/>
  <c r="R36"/>
  <c r="Q36"/>
  <c r="Q158" s="1"/>
  <c r="P36"/>
  <c r="O36"/>
  <c r="N36"/>
  <c r="M36"/>
  <c r="M158" s="1"/>
  <c r="L36"/>
  <c r="K36"/>
  <c r="J36"/>
  <c r="I36"/>
  <c r="I158" s="1"/>
  <c r="H36"/>
  <c r="G36"/>
  <c r="F36"/>
  <c r="E36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AL32"/>
  <c r="AK32"/>
  <c r="AK156" s="1"/>
  <c r="AJ32"/>
  <c r="AI32"/>
  <c r="AH32"/>
  <c r="AG32"/>
  <c r="AG156" s="1"/>
  <c r="AF32"/>
  <c r="AE32"/>
  <c r="AD32"/>
  <c r="AC32"/>
  <c r="AC156" s="1"/>
  <c r="AB32"/>
  <c r="AA32"/>
  <c r="Z32"/>
  <c r="Y32"/>
  <c r="Y156" s="1"/>
  <c r="X32"/>
  <c r="W32"/>
  <c r="V32"/>
  <c r="U32"/>
  <c r="U156" s="1"/>
  <c r="T32"/>
  <c r="S32"/>
  <c r="R32"/>
  <c r="Q32"/>
  <c r="Q156" s="1"/>
  <c r="P32"/>
  <c r="O32"/>
  <c r="N32"/>
  <c r="M32"/>
  <c r="M156" s="1"/>
  <c r="L32"/>
  <c r="K32"/>
  <c r="J32"/>
  <c r="I32"/>
  <c r="I156" s="1"/>
  <c r="H32"/>
  <c r="G32"/>
  <c r="F32"/>
  <c r="E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AL30"/>
  <c r="AK30"/>
  <c r="AK155" s="1"/>
  <c r="AJ30"/>
  <c r="AI30"/>
  <c r="AH30"/>
  <c r="AG30"/>
  <c r="AG155" s="1"/>
  <c r="AF30"/>
  <c r="AE30"/>
  <c r="AD30"/>
  <c r="AC30"/>
  <c r="AC155" s="1"/>
  <c r="AB30"/>
  <c r="AA30"/>
  <c r="Z30"/>
  <c r="Y30"/>
  <c r="Y155" s="1"/>
  <c r="X30"/>
  <c r="W30"/>
  <c r="V30"/>
  <c r="U30"/>
  <c r="U155" s="1"/>
  <c r="T30"/>
  <c r="S30"/>
  <c r="R30"/>
  <c r="Q30"/>
  <c r="Q155" s="1"/>
  <c r="P30"/>
  <c r="O30"/>
  <c r="N30"/>
  <c r="M30"/>
  <c r="M155" s="1"/>
  <c r="L30"/>
  <c r="K30"/>
  <c r="J30"/>
  <c r="I30"/>
  <c r="I155" s="1"/>
  <c r="H30"/>
  <c r="G30"/>
  <c r="F30"/>
  <c r="E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L28"/>
  <c r="AK28"/>
  <c r="AK154" s="1"/>
  <c r="AJ28"/>
  <c r="AI28"/>
  <c r="AH28"/>
  <c r="AG28"/>
  <c r="AG154" s="1"/>
  <c r="AF28"/>
  <c r="AE28"/>
  <c r="AD28"/>
  <c r="AC28"/>
  <c r="AC154" s="1"/>
  <c r="AB28"/>
  <c r="AA28"/>
  <c r="Z28"/>
  <c r="Y28"/>
  <c r="Y154" s="1"/>
  <c r="X28"/>
  <c r="W28"/>
  <c r="V28"/>
  <c r="U28"/>
  <c r="U154" s="1"/>
  <c r="T28"/>
  <c r="S28"/>
  <c r="R28"/>
  <c r="Q28"/>
  <c r="Q154" s="1"/>
  <c r="P28"/>
  <c r="O28"/>
  <c r="N28"/>
  <c r="M28"/>
  <c r="M154" s="1"/>
  <c r="L28"/>
  <c r="K28"/>
  <c r="J28"/>
  <c r="I28"/>
  <c r="I154" s="1"/>
  <c r="H28"/>
  <c r="G28"/>
  <c r="F28"/>
  <c r="E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AL26"/>
  <c r="AK26"/>
  <c r="AK153" s="1"/>
  <c r="AJ26"/>
  <c r="AI26"/>
  <c r="AH26"/>
  <c r="AG26"/>
  <c r="AG153" s="1"/>
  <c r="AF26"/>
  <c r="AE26"/>
  <c r="AD26"/>
  <c r="AC26"/>
  <c r="AC153" s="1"/>
  <c r="AB26"/>
  <c r="AA26"/>
  <c r="Z26"/>
  <c r="Y26"/>
  <c r="Y153" s="1"/>
  <c r="X26"/>
  <c r="W26"/>
  <c r="V26"/>
  <c r="U26"/>
  <c r="U153" s="1"/>
  <c r="T26"/>
  <c r="S26"/>
  <c r="R26"/>
  <c r="Q26"/>
  <c r="Q153" s="1"/>
  <c r="P26"/>
  <c r="O26"/>
  <c r="N26"/>
  <c r="M26"/>
  <c r="M153" s="1"/>
  <c r="L26"/>
  <c r="K26"/>
  <c r="J26"/>
  <c r="I26"/>
  <c r="I153" s="1"/>
  <c r="H26"/>
  <c r="G26"/>
  <c r="F26"/>
  <c r="E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AL24"/>
  <c r="AK24"/>
  <c r="AK120" s="1"/>
  <c r="AJ24"/>
  <c r="AJ120" s="1"/>
  <c r="AI24"/>
  <c r="AH24"/>
  <c r="AG24"/>
  <c r="AG120" s="1"/>
  <c r="AF24"/>
  <c r="AF120" s="1"/>
  <c r="AE24"/>
  <c r="AD24"/>
  <c r="AC24"/>
  <c r="AC120" s="1"/>
  <c r="AB24"/>
  <c r="AB120" s="1"/>
  <c r="AA24"/>
  <c r="Z24"/>
  <c r="Y24"/>
  <c r="Y120" s="1"/>
  <c r="X24"/>
  <c r="X120" s="1"/>
  <c r="W24"/>
  <c r="V24"/>
  <c r="U24"/>
  <c r="U120" s="1"/>
  <c r="T24"/>
  <c r="T120" s="1"/>
  <c r="S24"/>
  <c r="R24"/>
  <c r="Q24"/>
  <c r="Q120" s="1"/>
  <c r="P24"/>
  <c r="P120" s="1"/>
  <c r="O24"/>
  <c r="N24"/>
  <c r="M24"/>
  <c r="M120" s="1"/>
  <c r="L24"/>
  <c r="L120" s="1"/>
  <c r="K24"/>
  <c r="J24"/>
  <c r="I24"/>
  <c r="I120" s="1"/>
  <c r="H24"/>
  <c r="G24"/>
  <c r="F24"/>
  <c r="E24"/>
  <c r="AL23"/>
  <c r="AK23"/>
  <c r="AL242" s="1"/>
  <c r="AJ23"/>
  <c r="AK242" s="1"/>
  <c r="AI23"/>
  <c r="AJ242" s="1"/>
  <c r="AH23"/>
  <c r="AG23"/>
  <c r="AH242" s="1"/>
  <c r="AF23"/>
  <c r="AG242" s="1"/>
  <c r="AE23"/>
  <c r="AF242" s="1"/>
  <c r="AD23"/>
  <c r="AC23"/>
  <c r="AD242" s="1"/>
  <c r="AB23"/>
  <c r="AC242" s="1"/>
  <c r="AA23"/>
  <c r="AB242" s="1"/>
  <c r="Z23"/>
  <c r="Y23"/>
  <c r="Z242" s="1"/>
  <c r="X23"/>
  <c r="Y242" s="1"/>
  <c r="W23"/>
  <c r="X242" s="1"/>
  <c r="V23"/>
  <c r="U23"/>
  <c r="U151" s="1"/>
  <c r="T23"/>
  <c r="S23"/>
  <c r="R23"/>
  <c r="Q23"/>
  <c r="Q151" s="1"/>
  <c r="P23"/>
  <c r="O23"/>
  <c r="N23"/>
  <c r="M23"/>
  <c r="M151" s="1"/>
  <c r="L23"/>
  <c r="K23"/>
  <c r="J23"/>
  <c r="I23"/>
  <c r="I151" s="1"/>
  <c r="H23"/>
  <c r="G23"/>
  <c r="F23"/>
  <c r="E23"/>
  <c r="AL22"/>
  <c r="AK22"/>
  <c r="AL241" s="1"/>
  <c r="AJ22"/>
  <c r="AK241" s="1"/>
  <c r="AI22"/>
  <c r="AJ241" s="1"/>
  <c r="AH22"/>
  <c r="AI241" s="1"/>
  <c r="AG22"/>
  <c r="AH241" s="1"/>
  <c r="AF22"/>
  <c r="AG241" s="1"/>
  <c r="AE22"/>
  <c r="AF241" s="1"/>
  <c r="AD22"/>
  <c r="AE241" s="1"/>
  <c r="AC22"/>
  <c r="AD241" s="1"/>
  <c r="AB22"/>
  <c r="AC241" s="1"/>
  <c r="AA22"/>
  <c r="AB241" s="1"/>
  <c r="Z22"/>
  <c r="AA241" s="1"/>
  <c r="Y22"/>
  <c r="Z241" s="1"/>
  <c r="X22"/>
  <c r="Y241" s="1"/>
  <c r="W22"/>
  <c r="X241" s="1"/>
  <c r="V22"/>
  <c r="W241" s="1"/>
  <c r="U22"/>
  <c r="V241" s="1"/>
  <c r="T22"/>
  <c r="S22"/>
  <c r="R22"/>
  <c r="Q22"/>
  <c r="P22"/>
  <c r="O22"/>
  <c r="N22"/>
  <c r="M22"/>
  <c r="L22"/>
  <c r="K22"/>
  <c r="J22"/>
  <c r="I22"/>
  <c r="H22"/>
  <c r="G22"/>
  <c r="F22"/>
  <c r="E22"/>
  <c r="AL21"/>
  <c r="AK21"/>
  <c r="AJ21"/>
  <c r="AK240" s="1"/>
  <c r="AI21"/>
  <c r="AH21"/>
  <c r="AG21"/>
  <c r="AF21"/>
  <c r="AG240" s="1"/>
  <c r="AE21"/>
  <c r="AD21"/>
  <c r="AC21"/>
  <c r="AB21"/>
  <c r="AC240" s="1"/>
  <c r="AA21"/>
  <c r="Z21"/>
  <c r="Y21"/>
  <c r="X21"/>
  <c r="Y240" s="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AL19"/>
  <c r="AK19"/>
  <c r="AL239" s="1"/>
  <c r="AJ19"/>
  <c r="AK239" s="1"/>
  <c r="AI19"/>
  <c r="AJ239" s="1"/>
  <c r="AH19"/>
  <c r="AI239" s="1"/>
  <c r="AG19"/>
  <c r="AH239" s="1"/>
  <c r="AF19"/>
  <c r="AG239" s="1"/>
  <c r="AE19"/>
  <c r="AF239" s="1"/>
  <c r="AD19"/>
  <c r="AE239" s="1"/>
  <c r="AC19"/>
  <c r="AD239" s="1"/>
  <c r="AB19"/>
  <c r="AC239" s="1"/>
  <c r="AA19"/>
  <c r="AB239" s="1"/>
  <c r="Z19"/>
  <c r="AA239" s="1"/>
  <c r="Y19"/>
  <c r="Z239" s="1"/>
  <c r="X19"/>
  <c r="Y239" s="1"/>
  <c r="W19"/>
  <c r="X239" s="1"/>
  <c r="V19"/>
  <c r="W239" s="1"/>
  <c r="U19"/>
  <c r="V239" s="1"/>
  <c r="T19"/>
  <c r="U239" s="1"/>
  <c r="S19"/>
  <c r="T239" s="1"/>
  <c r="R19"/>
  <c r="S239" s="1"/>
  <c r="Q19"/>
  <c r="R239" s="1"/>
  <c r="P19"/>
  <c r="Q239" s="1"/>
  <c r="O19"/>
  <c r="P239" s="1"/>
  <c r="N19"/>
  <c r="O239" s="1"/>
  <c r="M19"/>
  <c r="N239" s="1"/>
  <c r="L19"/>
  <c r="M239" s="1"/>
  <c r="K19"/>
  <c r="L239" s="1"/>
  <c r="J19"/>
  <c r="K239" s="1"/>
  <c r="I19"/>
  <c r="J239" s="1"/>
  <c r="H19"/>
  <c r="I239" s="1"/>
  <c r="G19"/>
  <c r="F19"/>
  <c r="E19"/>
  <c r="F239" s="1"/>
  <c r="AL18"/>
  <c r="AK18"/>
  <c r="AL238" s="1"/>
  <c r="AJ18"/>
  <c r="AI18"/>
  <c r="AJ238" s="1"/>
  <c r="AH18"/>
  <c r="AI238" s="1"/>
  <c r="AG18"/>
  <c r="AH238" s="1"/>
  <c r="AF18"/>
  <c r="AE18"/>
  <c r="AF238" s="1"/>
  <c r="AD18"/>
  <c r="AE238" s="1"/>
  <c r="AC18"/>
  <c r="AD238" s="1"/>
  <c r="AB18"/>
  <c r="AA18"/>
  <c r="AB238" s="1"/>
  <c r="Z18"/>
  <c r="AA238" s="1"/>
  <c r="Y18"/>
  <c r="Z238" s="1"/>
  <c r="X18"/>
  <c r="W18"/>
  <c r="X238" s="1"/>
  <c r="V18"/>
  <c r="W238" s="1"/>
  <c r="U18"/>
  <c r="V238" s="1"/>
  <c r="T18"/>
  <c r="S18"/>
  <c r="T238" s="1"/>
  <c r="R18"/>
  <c r="S238" s="1"/>
  <c r="Q18"/>
  <c r="R238" s="1"/>
  <c r="P18"/>
  <c r="O18"/>
  <c r="P238" s="1"/>
  <c r="N18"/>
  <c r="O238" s="1"/>
  <c r="M18"/>
  <c r="N238" s="1"/>
  <c r="L18"/>
  <c r="K18"/>
  <c r="L238" s="1"/>
  <c r="J18"/>
  <c r="K238" s="1"/>
  <c r="I18"/>
  <c r="J238" s="1"/>
  <c r="H18"/>
  <c r="I238" s="1"/>
  <c r="G18"/>
  <c r="F18"/>
  <c r="E18"/>
  <c r="F238" s="1"/>
  <c r="AL17"/>
  <c r="AK17"/>
  <c r="AJ17"/>
  <c r="AI17"/>
  <c r="AH17"/>
  <c r="AH146" s="1"/>
  <c r="AG17"/>
  <c r="AF17"/>
  <c r="AF170" s="1"/>
  <c r="AE17"/>
  <c r="AD17"/>
  <c r="AC17"/>
  <c r="AB17"/>
  <c r="AA17"/>
  <c r="Z17"/>
  <c r="Y17"/>
  <c r="X17"/>
  <c r="X170" s="1"/>
  <c r="W17"/>
  <c r="V17"/>
  <c r="U17"/>
  <c r="T17"/>
  <c r="S17"/>
  <c r="R17"/>
  <c r="R146" s="1"/>
  <c r="Q17"/>
  <c r="P17"/>
  <c r="P170" s="1"/>
  <c r="O17"/>
  <c r="N17"/>
  <c r="M17"/>
  <c r="L17"/>
  <c r="K17"/>
  <c r="J17"/>
  <c r="I17"/>
  <c r="H17"/>
  <c r="H170" s="1"/>
  <c r="G17"/>
  <c r="F17"/>
  <c r="E17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AL14"/>
  <c r="AL219" s="1"/>
  <c r="AK14"/>
  <c r="AJ14"/>
  <c r="AI14"/>
  <c r="AH14"/>
  <c r="AG14"/>
  <c r="AF14"/>
  <c r="AE14"/>
  <c r="AD14"/>
  <c r="AC14"/>
  <c r="AB14"/>
  <c r="AA14"/>
  <c r="Z14"/>
  <c r="Y14"/>
  <c r="X14"/>
  <c r="W14"/>
  <c r="V14"/>
  <c r="W232" s="1"/>
  <c r="U14"/>
  <c r="T14"/>
  <c r="S14"/>
  <c r="R14"/>
  <c r="Q14"/>
  <c r="P14"/>
  <c r="O14"/>
  <c r="N14"/>
  <c r="M14"/>
  <c r="L14"/>
  <c r="K14"/>
  <c r="J14"/>
  <c r="I14"/>
  <c r="H14"/>
  <c r="G14"/>
  <c r="G219" s="1"/>
  <c r="F14"/>
  <c r="E14"/>
  <c r="AL13"/>
  <c r="AK13"/>
  <c r="AL231" s="1"/>
  <c r="AJ13"/>
  <c r="AJ127" s="1"/>
  <c r="AI13"/>
  <c r="AH13"/>
  <c r="AG13"/>
  <c r="AG127" s="1"/>
  <c r="AF13"/>
  <c r="AF127" s="1"/>
  <c r="AE13"/>
  <c r="AD13"/>
  <c r="AC13"/>
  <c r="AC127" s="1"/>
  <c r="AB13"/>
  <c r="AB127" s="1"/>
  <c r="AA13"/>
  <c r="Z13"/>
  <c r="Y13"/>
  <c r="Y127" s="1"/>
  <c r="X13"/>
  <c r="X127" s="1"/>
  <c r="W13"/>
  <c r="V13"/>
  <c r="U13"/>
  <c r="U127" s="1"/>
  <c r="T13"/>
  <c r="T127" s="1"/>
  <c r="S13"/>
  <c r="R13"/>
  <c r="Q13"/>
  <c r="Q127" s="1"/>
  <c r="P13"/>
  <c r="P127" s="1"/>
  <c r="O13"/>
  <c r="N13"/>
  <c r="M13"/>
  <c r="L13"/>
  <c r="L127" s="1"/>
  <c r="K13"/>
  <c r="J13"/>
  <c r="I13"/>
  <c r="I127" s="1"/>
  <c r="H13"/>
  <c r="G13"/>
  <c r="F13"/>
  <c r="E13"/>
  <c r="AL12"/>
  <c r="AK12"/>
  <c r="AK123" s="1"/>
  <c r="AJ12"/>
  <c r="AI12"/>
  <c r="AH12"/>
  <c r="AG12"/>
  <c r="AG123" s="1"/>
  <c r="AF12"/>
  <c r="AE12"/>
  <c r="AD12"/>
  <c r="AC12"/>
  <c r="AC123" s="1"/>
  <c r="AB12"/>
  <c r="AA12"/>
  <c r="Z12"/>
  <c r="Y12"/>
  <c r="Y123" s="1"/>
  <c r="X12"/>
  <c r="W12"/>
  <c r="V12"/>
  <c r="U12"/>
  <c r="U123" s="1"/>
  <c r="T12"/>
  <c r="S12"/>
  <c r="R12"/>
  <c r="Q12"/>
  <c r="Q123" s="1"/>
  <c r="P12"/>
  <c r="O12"/>
  <c r="N12"/>
  <c r="M12"/>
  <c r="M123" s="1"/>
  <c r="L12"/>
  <c r="K12"/>
  <c r="J12"/>
  <c r="I12"/>
  <c r="I123" s="1"/>
  <c r="H12"/>
  <c r="G12"/>
  <c r="F12"/>
  <c r="E12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AL9"/>
  <c r="AK9"/>
  <c r="AJ9"/>
  <c r="AI9"/>
  <c r="AI122" s="1"/>
  <c r="AH9"/>
  <c r="AH122" s="1"/>
  <c r="AG9"/>
  <c r="AF9"/>
  <c r="AE9"/>
  <c r="AE122" s="1"/>
  <c r="AD9"/>
  <c r="AC9"/>
  <c r="AB9"/>
  <c r="AA9"/>
  <c r="AA122" s="1"/>
  <c r="Z9"/>
  <c r="Y9"/>
  <c r="X9"/>
  <c r="W9"/>
  <c r="W122" s="1"/>
  <c r="V9"/>
  <c r="U9"/>
  <c r="T9"/>
  <c r="S9"/>
  <c r="S122" s="1"/>
  <c r="R9"/>
  <c r="Q9"/>
  <c r="P9"/>
  <c r="O9"/>
  <c r="O122" s="1"/>
  <c r="N9"/>
  <c r="M9"/>
  <c r="L9"/>
  <c r="K9"/>
  <c r="K122" s="1"/>
  <c r="J9"/>
  <c r="I9"/>
  <c r="H9"/>
  <c r="G9"/>
  <c r="F9"/>
  <c r="E9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AL5"/>
  <c r="AL116" s="1"/>
  <c r="AK5"/>
  <c r="AK180" s="1"/>
  <c r="AJ5"/>
  <c r="AI5"/>
  <c r="AH5"/>
  <c r="AG5"/>
  <c r="AG189" s="1"/>
  <c r="AF5"/>
  <c r="AF190" s="1"/>
  <c r="AE5"/>
  <c r="AD5"/>
  <c r="AD55" s="1"/>
  <c r="AC5"/>
  <c r="AC182" s="1"/>
  <c r="AB5"/>
  <c r="AB214" s="1"/>
  <c r="AA5"/>
  <c r="AA183" s="1"/>
  <c r="Z5"/>
  <c r="Y5"/>
  <c r="Y180" s="1"/>
  <c r="X5"/>
  <c r="W5"/>
  <c r="W181" s="1"/>
  <c r="V5"/>
  <c r="U5"/>
  <c r="U180" s="1"/>
  <c r="T5"/>
  <c r="S5"/>
  <c r="R5"/>
  <c r="Q5"/>
  <c r="P5"/>
  <c r="O5"/>
  <c r="N5"/>
  <c r="N55" s="1"/>
  <c r="M5"/>
  <c r="L5"/>
  <c r="K5"/>
  <c r="K183" s="1"/>
  <c r="J5"/>
  <c r="I5"/>
  <c r="I182" s="1"/>
  <c r="H5"/>
  <c r="G5"/>
  <c r="F5"/>
  <c r="E5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I3"/>
  <c r="O58" l="1"/>
  <c r="AA58"/>
  <c r="AI58"/>
  <c r="AF129"/>
  <c r="T131"/>
  <c r="AJ131"/>
  <c r="V132"/>
  <c r="J134"/>
  <c r="N136"/>
  <c r="AD136"/>
  <c r="AL140"/>
  <c r="K58"/>
  <c r="S58"/>
  <c r="W58"/>
  <c r="AE58"/>
  <c r="Z150"/>
  <c r="I228"/>
  <c r="J169"/>
  <c r="R169"/>
  <c r="V124"/>
  <c r="Z169"/>
  <c r="AH169"/>
  <c r="AL125"/>
  <c r="R122"/>
  <c r="J123"/>
  <c r="N123"/>
  <c r="R123"/>
  <c r="V123"/>
  <c r="Z123"/>
  <c r="AD123"/>
  <c r="AH123"/>
  <c r="AL123"/>
  <c r="J126"/>
  <c r="Z126"/>
  <c r="V116"/>
  <c r="T147"/>
  <c r="AJ110"/>
  <c r="AL141"/>
  <c r="L166"/>
  <c r="T166"/>
  <c r="L151"/>
  <c r="P151"/>
  <c r="T151"/>
  <c r="J121"/>
  <c r="N121"/>
  <c r="R121"/>
  <c r="V121"/>
  <c r="Z121"/>
  <c r="AD121"/>
  <c r="AH121"/>
  <c r="AL121"/>
  <c r="J153"/>
  <c r="N153"/>
  <c r="R153"/>
  <c r="V153"/>
  <c r="Z153"/>
  <c r="AD153"/>
  <c r="AH153"/>
  <c r="AL153"/>
  <c r="AF121"/>
  <c r="Z154"/>
  <c r="AD154"/>
  <c r="AH154"/>
  <c r="AL154"/>
  <c r="J155"/>
  <c r="R155"/>
  <c r="Z155"/>
  <c r="AH155"/>
  <c r="J156"/>
  <c r="N156"/>
  <c r="R156"/>
  <c r="V156"/>
  <c r="Z156"/>
  <c r="AD156"/>
  <c r="AH156"/>
  <c r="AL156"/>
  <c r="L160"/>
  <c r="P157"/>
  <c r="T160"/>
  <c r="X157"/>
  <c r="AB160"/>
  <c r="AF157"/>
  <c r="AJ160"/>
  <c r="J158"/>
  <c r="N158"/>
  <c r="R158"/>
  <c r="V158"/>
  <c r="Z158"/>
  <c r="AD158"/>
  <c r="AH158"/>
  <c r="AL158"/>
  <c r="I117"/>
  <c r="L163"/>
  <c r="P161"/>
  <c r="T163"/>
  <c r="X161"/>
  <c r="AB163"/>
  <c r="AF161"/>
  <c r="AJ163"/>
  <c r="J164"/>
  <c r="N164"/>
  <c r="R164"/>
  <c r="V164"/>
  <c r="Z164"/>
  <c r="AD164"/>
  <c r="AH164"/>
  <c r="AL164"/>
  <c r="J165"/>
  <c r="N165"/>
  <c r="R165"/>
  <c r="V165"/>
  <c r="Z165"/>
  <c r="AD165"/>
  <c r="AH165"/>
  <c r="AL165"/>
  <c r="J58"/>
  <c r="N58"/>
  <c r="R58"/>
  <c r="V58"/>
  <c r="Z58"/>
  <c r="AD58"/>
  <c r="AH58"/>
  <c r="AL58"/>
  <c r="I129"/>
  <c r="M129"/>
  <c r="Q129"/>
  <c r="U129"/>
  <c r="Y129"/>
  <c r="AC129"/>
  <c r="AG129"/>
  <c r="AK129"/>
  <c r="K131"/>
  <c r="O131"/>
  <c r="S131"/>
  <c r="W131"/>
  <c r="AA131"/>
  <c r="AE131"/>
  <c r="AI131"/>
  <c r="I133"/>
  <c r="M133"/>
  <c r="Q133"/>
  <c r="U133"/>
  <c r="Y133"/>
  <c r="AC133"/>
  <c r="AG133"/>
  <c r="AK133"/>
  <c r="K139"/>
  <c r="O139"/>
  <c r="S139"/>
  <c r="W139"/>
  <c r="AA139"/>
  <c r="AE139"/>
  <c r="AI139"/>
  <c r="J118"/>
  <c r="K140"/>
  <c r="O140"/>
  <c r="S140"/>
  <c r="W140"/>
  <c r="AA140"/>
  <c r="AE140"/>
  <c r="AI140"/>
  <c r="P119"/>
  <c r="AF237"/>
  <c r="N128"/>
  <c r="Y182"/>
  <c r="AK190"/>
  <c r="X125"/>
  <c r="T123"/>
  <c r="AD128"/>
  <c r="J150"/>
  <c r="P165"/>
  <c r="X165"/>
  <c r="AF165"/>
  <c r="AF119"/>
  <c r="R120"/>
  <c r="R130"/>
  <c r="X137"/>
  <c r="J138"/>
  <c r="Z138"/>
  <c r="X141"/>
  <c r="V142"/>
  <c r="AL142"/>
  <c r="AD144"/>
  <c r="AB151"/>
  <c r="X160"/>
  <c r="AJ170"/>
  <c r="J241"/>
  <c r="R241"/>
  <c r="L242"/>
  <c r="T242"/>
  <c r="R59"/>
  <c r="P246"/>
  <c r="J248"/>
  <c r="J237"/>
  <c r="T110"/>
  <c r="N120"/>
  <c r="AD120"/>
  <c r="T137"/>
  <c r="V138"/>
  <c r="J124"/>
  <c r="N124"/>
  <c r="R124"/>
  <c r="Z124"/>
  <c r="AD124"/>
  <c r="AH124"/>
  <c r="J122"/>
  <c r="N122"/>
  <c r="V122"/>
  <c r="Z122"/>
  <c r="AD122"/>
  <c r="AL122"/>
  <c r="L123"/>
  <c r="P123"/>
  <c r="X123"/>
  <c r="AB123"/>
  <c r="AF123"/>
  <c r="L139"/>
  <c r="P139"/>
  <c r="X139"/>
  <c r="AB139"/>
  <c r="AF139"/>
  <c r="I241"/>
  <c r="M241"/>
  <c r="Q241"/>
  <c r="U241"/>
  <c r="L153"/>
  <c r="P153"/>
  <c r="T153"/>
  <c r="X153"/>
  <c r="AB153"/>
  <c r="AF153"/>
  <c r="AJ153"/>
  <c r="L154"/>
  <c r="P154"/>
  <c r="T154"/>
  <c r="X154"/>
  <c r="AB154"/>
  <c r="AF154"/>
  <c r="AJ154"/>
  <c r="J154"/>
  <c r="N154"/>
  <c r="R154"/>
  <c r="V154"/>
  <c r="L155"/>
  <c r="P155"/>
  <c r="T155"/>
  <c r="X155"/>
  <c r="AB155"/>
  <c r="AF155"/>
  <c r="AJ155"/>
  <c r="N155"/>
  <c r="V155"/>
  <c r="AD155"/>
  <c r="AL155"/>
  <c r="L156"/>
  <c r="P156"/>
  <c r="T156"/>
  <c r="X156"/>
  <c r="AB156"/>
  <c r="AF156"/>
  <c r="AJ156"/>
  <c r="L158"/>
  <c r="P158"/>
  <c r="T158"/>
  <c r="X158"/>
  <c r="AB158"/>
  <c r="AF158"/>
  <c r="AJ158"/>
  <c r="L164"/>
  <c r="P164"/>
  <c r="T164"/>
  <c r="X164"/>
  <c r="AB164"/>
  <c r="AF164"/>
  <c r="AJ164"/>
  <c r="L59"/>
  <c r="P59"/>
  <c r="T59"/>
  <c r="X59"/>
  <c r="AB59"/>
  <c r="AF59"/>
  <c r="AJ59"/>
  <c r="X58"/>
  <c r="J59"/>
  <c r="N59"/>
  <c r="Z59"/>
  <c r="AD59"/>
  <c r="AJ58"/>
  <c r="AL59"/>
  <c r="L129"/>
  <c r="T129"/>
  <c r="X129"/>
  <c r="AB129"/>
  <c r="AJ129"/>
  <c r="L145"/>
  <c r="X145"/>
  <c r="AB145"/>
  <c r="G246"/>
  <c r="K246"/>
  <c r="O246"/>
  <c r="S246"/>
  <c r="G247"/>
  <c r="K247"/>
  <c r="J131"/>
  <c r="N131"/>
  <c r="R131"/>
  <c r="V131"/>
  <c r="Z131"/>
  <c r="AD131"/>
  <c r="AH131"/>
  <c r="AL131"/>
  <c r="L131"/>
  <c r="P131"/>
  <c r="X131"/>
  <c r="AB131"/>
  <c r="AF131"/>
  <c r="K233"/>
  <c r="L133"/>
  <c r="P133"/>
  <c r="T133"/>
  <c r="AB133"/>
  <c r="AF133"/>
  <c r="AJ133"/>
  <c r="L147"/>
  <c r="P147"/>
  <c r="AB147"/>
  <c r="AF147"/>
  <c r="N134"/>
  <c r="R134"/>
  <c r="V134"/>
  <c r="AD134"/>
  <c r="AH134"/>
  <c r="AL134"/>
  <c r="J136"/>
  <c r="V136"/>
  <c r="Z136"/>
  <c r="J139"/>
  <c r="N139"/>
  <c r="V139"/>
  <c r="Z139"/>
  <c r="AD139"/>
  <c r="AL139"/>
  <c r="I118"/>
  <c r="J140"/>
  <c r="N140"/>
  <c r="R140"/>
  <c r="Z140"/>
  <c r="AD140"/>
  <c r="AH140"/>
  <c r="X119"/>
  <c r="J120"/>
  <c r="Z120"/>
  <c r="P121"/>
  <c r="AB135"/>
  <c r="P137"/>
  <c r="AF137"/>
  <c r="R138"/>
  <c r="AH138"/>
  <c r="N142"/>
  <c r="AD142"/>
  <c r="AB143"/>
  <c r="AF145"/>
  <c r="AJ147"/>
  <c r="AJ151"/>
  <c r="X166"/>
  <c r="AB189"/>
  <c r="G230"/>
  <c r="AH120"/>
  <c r="Z134"/>
  <c r="AF193"/>
  <c r="F241"/>
  <c r="N241"/>
  <c r="P242"/>
  <c r="L246"/>
  <c r="T246"/>
  <c r="H247"/>
  <c r="J230"/>
  <c r="AJ137"/>
  <c r="R142"/>
  <c r="AH142"/>
  <c r="N144"/>
  <c r="X151"/>
  <c r="P160"/>
  <c r="T170"/>
  <c r="I180"/>
  <c r="K124"/>
  <c r="O124"/>
  <c r="S124"/>
  <c r="W124"/>
  <c r="AA124"/>
  <c r="AE124"/>
  <c r="AI124"/>
  <c r="I122"/>
  <c r="M122"/>
  <c r="Q122"/>
  <c r="U122"/>
  <c r="Y122"/>
  <c r="AC122"/>
  <c r="AG122"/>
  <c r="AK122"/>
  <c r="K123"/>
  <c r="O123"/>
  <c r="S123"/>
  <c r="W123"/>
  <c r="AA123"/>
  <c r="AE123"/>
  <c r="AI123"/>
  <c r="M218"/>
  <c r="I147"/>
  <c r="M147"/>
  <c r="Q147"/>
  <c r="U147"/>
  <c r="Y147"/>
  <c r="AC147"/>
  <c r="AG147"/>
  <c r="AK147"/>
  <c r="I143"/>
  <c r="M143"/>
  <c r="Q143"/>
  <c r="U143"/>
  <c r="Y143"/>
  <c r="AC143"/>
  <c r="AG143"/>
  <c r="AK143"/>
  <c r="K121"/>
  <c r="O121"/>
  <c r="S121"/>
  <c r="W121"/>
  <c r="AA121"/>
  <c r="AE121"/>
  <c r="AI121"/>
  <c r="K153"/>
  <c r="O153"/>
  <c r="S153"/>
  <c r="W153"/>
  <c r="AA153"/>
  <c r="AE153"/>
  <c r="AI153"/>
  <c r="K154"/>
  <c r="O154"/>
  <c r="S154"/>
  <c r="W154"/>
  <c r="AA154"/>
  <c r="AE154"/>
  <c r="AI154"/>
  <c r="K155"/>
  <c r="O155"/>
  <c r="S155"/>
  <c r="W155"/>
  <c r="AA155"/>
  <c r="AE155"/>
  <c r="AI155"/>
  <c r="K156"/>
  <c r="O156"/>
  <c r="S156"/>
  <c r="W156"/>
  <c r="AA156"/>
  <c r="AE156"/>
  <c r="AI156"/>
  <c r="K158"/>
  <c r="O158"/>
  <c r="S158"/>
  <c r="W158"/>
  <c r="AA158"/>
  <c r="AE158"/>
  <c r="AI158"/>
  <c r="K164"/>
  <c r="O164"/>
  <c r="S164"/>
  <c r="W164"/>
  <c r="AA164"/>
  <c r="AE164"/>
  <c r="AI164"/>
  <c r="AF58"/>
  <c r="AH59"/>
  <c r="K129"/>
  <c r="O129"/>
  <c r="S129"/>
  <c r="W129"/>
  <c r="AA129"/>
  <c r="AE129"/>
  <c r="AI129"/>
  <c r="I131"/>
  <c r="M131"/>
  <c r="Q131"/>
  <c r="U131"/>
  <c r="Y131"/>
  <c r="AC131"/>
  <c r="AG131"/>
  <c r="AK131"/>
  <c r="K133"/>
  <c r="O133"/>
  <c r="S133"/>
  <c r="W133"/>
  <c r="AA133"/>
  <c r="AE133"/>
  <c r="AI133"/>
  <c r="I139"/>
  <c r="M139"/>
  <c r="Q139"/>
  <c r="U139"/>
  <c r="Y139"/>
  <c r="AC139"/>
  <c r="AG139"/>
  <c r="AK139"/>
  <c r="I140"/>
  <c r="M140"/>
  <c r="Q140"/>
  <c r="U140"/>
  <c r="Y140"/>
  <c r="AC140"/>
  <c r="AG140"/>
  <c r="AK140"/>
  <c r="T119"/>
  <c r="AJ119"/>
  <c r="V120"/>
  <c r="AL120"/>
  <c r="AL124"/>
  <c r="AH130"/>
  <c r="L135"/>
  <c r="L137"/>
  <c r="AB137"/>
  <c r="N138"/>
  <c r="AD138"/>
  <c r="J142"/>
  <c r="Z142"/>
  <c r="L143"/>
  <c r="P145"/>
  <c r="X149"/>
  <c r="AF151"/>
  <c r="AF160"/>
  <c r="AB197"/>
  <c r="G228"/>
  <c r="H228"/>
  <c r="F214"/>
  <c r="F215"/>
  <c r="F171"/>
  <c r="K228"/>
  <c r="J214"/>
  <c r="J183"/>
  <c r="J181"/>
  <c r="J182"/>
  <c r="J180"/>
  <c r="J171"/>
  <c r="J215"/>
  <c r="O228"/>
  <c r="N214"/>
  <c r="N183"/>
  <c r="N181"/>
  <c r="N215"/>
  <c r="N182"/>
  <c r="N180"/>
  <c r="N192"/>
  <c r="N171"/>
  <c r="S228"/>
  <c r="R214"/>
  <c r="R215"/>
  <c r="R183"/>
  <c r="R181"/>
  <c r="R182"/>
  <c r="R180"/>
  <c r="R171"/>
  <c r="W228"/>
  <c r="V196"/>
  <c r="V192"/>
  <c r="V215"/>
  <c r="V214"/>
  <c r="V197"/>
  <c r="V193"/>
  <c r="V198"/>
  <c r="V194"/>
  <c r="V190"/>
  <c r="V195"/>
  <c r="V199"/>
  <c r="V188"/>
  <c r="V183"/>
  <c r="V181"/>
  <c r="V191"/>
  <c r="V182"/>
  <c r="V180"/>
  <c r="V189"/>
  <c r="V171"/>
  <c r="AA228"/>
  <c r="Z215"/>
  <c r="Z196"/>
  <c r="Z192"/>
  <c r="Z214"/>
  <c r="Z197"/>
  <c r="Z193"/>
  <c r="Z198"/>
  <c r="Z194"/>
  <c r="Z190"/>
  <c r="Z188"/>
  <c r="Z195"/>
  <c r="Z189"/>
  <c r="Z183"/>
  <c r="Z181"/>
  <c r="Z182"/>
  <c r="Z180"/>
  <c r="Z171"/>
  <c r="Z199"/>
  <c r="Z191"/>
  <c r="AE228"/>
  <c r="AD196"/>
  <c r="AD192"/>
  <c r="AD214"/>
  <c r="AD197"/>
  <c r="AD193"/>
  <c r="AD198"/>
  <c r="AD194"/>
  <c r="AD190"/>
  <c r="AD189"/>
  <c r="AD191"/>
  <c r="AD183"/>
  <c r="AD181"/>
  <c r="AD199"/>
  <c r="AD188"/>
  <c r="AD182"/>
  <c r="AD180"/>
  <c r="AD195"/>
  <c r="AD171"/>
  <c r="AD215"/>
  <c r="AI228"/>
  <c r="AH196"/>
  <c r="AH192"/>
  <c r="AH214"/>
  <c r="AH197"/>
  <c r="AH193"/>
  <c r="AH215"/>
  <c r="AH198"/>
  <c r="AH194"/>
  <c r="AH190"/>
  <c r="AH199"/>
  <c r="AH191"/>
  <c r="AH183"/>
  <c r="AH181"/>
  <c r="AH195"/>
  <c r="AH189"/>
  <c r="AH182"/>
  <c r="AH180"/>
  <c r="AH171"/>
  <c r="AH188"/>
  <c r="AL196"/>
  <c r="AL192"/>
  <c r="AL215"/>
  <c r="AL214"/>
  <c r="AL197"/>
  <c r="AL193"/>
  <c r="AL198"/>
  <c r="AL194"/>
  <c r="AL190"/>
  <c r="AL195"/>
  <c r="AL199"/>
  <c r="AL188"/>
  <c r="AL183"/>
  <c r="AL181"/>
  <c r="AL191"/>
  <c r="AL182"/>
  <c r="AL180"/>
  <c r="AL189"/>
  <c r="AL171"/>
  <c r="I229"/>
  <c r="H216"/>
  <c r="H169"/>
  <c r="M229"/>
  <c r="L169"/>
  <c r="L216"/>
  <c r="L124"/>
  <c r="Q229"/>
  <c r="P216"/>
  <c r="P169"/>
  <c r="P124"/>
  <c r="U229"/>
  <c r="T216"/>
  <c r="T169"/>
  <c r="T124"/>
  <c r="Y229"/>
  <c r="X216"/>
  <c r="X169"/>
  <c r="X124"/>
  <c r="AC229"/>
  <c r="AB216"/>
  <c r="AB169"/>
  <c r="AB124"/>
  <c r="AG229"/>
  <c r="AF216"/>
  <c r="AF169"/>
  <c r="AF124"/>
  <c r="AK229"/>
  <c r="AJ216"/>
  <c r="AJ169"/>
  <c r="AJ124"/>
  <c r="G231"/>
  <c r="H231"/>
  <c r="F217"/>
  <c r="F218"/>
  <c r="F169"/>
  <c r="K231"/>
  <c r="J218"/>
  <c r="J217"/>
  <c r="J127"/>
  <c r="O231"/>
  <c r="N218"/>
  <c r="O192" s="1"/>
  <c r="N217"/>
  <c r="N127"/>
  <c r="S231"/>
  <c r="R217"/>
  <c r="R218"/>
  <c r="S192" s="1"/>
  <c r="R127"/>
  <c r="W231"/>
  <c r="V217"/>
  <c r="V218"/>
  <c r="V127"/>
  <c r="V169"/>
  <c r="AA231"/>
  <c r="Z218"/>
  <c r="Z127"/>
  <c r="Z217"/>
  <c r="AE231"/>
  <c r="AD218"/>
  <c r="AD217"/>
  <c r="AD127"/>
  <c r="AI231"/>
  <c r="AH217"/>
  <c r="AH218"/>
  <c r="AH127"/>
  <c r="AL217"/>
  <c r="AL218"/>
  <c r="AL127"/>
  <c r="AL169"/>
  <c r="I232"/>
  <c r="H219"/>
  <c r="I193" s="1"/>
  <c r="L219"/>
  <c r="M232"/>
  <c r="Q232"/>
  <c r="P219"/>
  <c r="Q193" s="1"/>
  <c r="T219"/>
  <c r="U232"/>
  <c r="Y232"/>
  <c r="X219"/>
  <c r="AB219"/>
  <c r="AC232"/>
  <c r="AG232"/>
  <c r="AF219"/>
  <c r="AJ219"/>
  <c r="AK232"/>
  <c r="I234"/>
  <c r="H221"/>
  <c r="I195" s="1"/>
  <c r="H220"/>
  <c r="M234"/>
  <c r="L221"/>
  <c r="L220"/>
  <c r="Q234"/>
  <c r="P221"/>
  <c r="P220"/>
  <c r="U234"/>
  <c r="T221"/>
  <c r="T220"/>
  <c r="Y234"/>
  <c r="X221"/>
  <c r="X220"/>
  <c r="AC234"/>
  <c r="AB221"/>
  <c r="AB220"/>
  <c r="AG234"/>
  <c r="AF221"/>
  <c r="AF220"/>
  <c r="AK234"/>
  <c r="AJ221"/>
  <c r="AJ220"/>
  <c r="G235"/>
  <c r="G236"/>
  <c r="H235"/>
  <c r="F222"/>
  <c r="H236"/>
  <c r="F223"/>
  <c r="F225"/>
  <c r="F170"/>
  <c r="K235"/>
  <c r="K236"/>
  <c r="J222"/>
  <c r="J223"/>
  <c r="J225"/>
  <c r="J170"/>
  <c r="J147"/>
  <c r="J145"/>
  <c r="O235"/>
  <c r="O236"/>
  <c r="N222"/>
  <c r="N225"/>
  <c r="N223"/>
  <c r="N170"/>
  <c r="N147"/>
  <c r="N145"/>
  <c r="S235"/>
  <c r="S236"/>
  <c r="R222"/>
  <c r="R223"/>
  <c r="R225"/>
  <c r="R170"/>
  <c r="R147"/>
  <c r="R145"/>
  <c r="W235"/>
  <c r="W236"/>
  <c r="V222"/>
  <c r="V223"/>
  <c r="V225"/>
  <c r="V170"/>
  <c r="V147"/>
  <c r="V145"/>
  <c r="AA235"/>
  <c r="AA236"/>
  <c r="Z222"/>
  <c r="Z223"/>
  <c r="Z170"/>
  <c r="Z225"/>
  <c r="Z147"/>
  <c r="Z145"/>
  <c r="AE235"/>
  <c r="AE236"/>
  <c r="AD222"/>
  <c r="AD225"/>
  <c r="AD170"/>
  <c r="AD223"/>
  <c r="AD147"/>
  <c r="AD145"/>
  <c r="AI235"/>
  <c r="AI236"/>
  <c r="AH222"/>
  <c r="AH223"/>
  <c r="AH225"/>
  <c r="AH170"/>
  <c r="AH147"/>
  <c r="AH145"/>
  <c r="AL222"/>
  <c r="AL223"/>
  <c r="AL225"/>
  <c r="AL170"/>
  <c r="AL147"/>
  <c r="AL145"/>
  <c r="M238"/>
  <c r="L142"/>
  <c r="Q238"/>
  <c r="P142"/>
  <c r="U238"/>
  <c r="T142"/>
  <c r="Y238"/>
  <c r="X142"/>
  <c r="AC238"/>
  <c r="AB142"/>
  <c r="AG238"/>
  <c r="AF142"/>
  <c r="AK238"/>
  <c r="AJ142"/>
  <c r="G239"/>
  <c r="H239"/>
  <c r="G240"/>
  <c r="H240"/>
  <c r="K240"/>
  <c r="J166"/>
  <c r="J143"/>
  <c r="O240"/>
  <c r="N166"/>
  <c r="N143"/>
  <c r="S240"/>
  <c r="R166"/>
  <c r="R143"/>
  <c r="W240"/>
  <c r="V166"/>
  <c r="V143"/>
  <c r="AA240"/>
  <c r="Z166"/>
  <c r="Z143"/>
  <c r="AE240"/>
  <c r="AD166"/>
  <c r="AD143"/>
  <c r="AI240"/>
  <c r="AH166"/>
  <c r="AH143"/>
  <c r="AL166"/>
  <c r="AL143"/>
  <c r="H242"/>
  <c r="G242"/>
  <c r="K242"/>
  <c r="J151"/>
  <c r="J149"/>
  <c r="J152"/>
  <c r="O242"/>
  <c r="N151"/>
  <c r="N149"/>
  <c r="N152"/>
  <c r="S242"/>
  <c r="R151"/>
  <c r="R149"/>
  <c r="R152"/>
  <c r="W242"/>
  <c r="V151"/>
  <c r="V149"/>
  <c r="V152"/>
  <c r="AA242"/>
  <c r="Z151"/>
  <c r="Z149"/>
  <c r="Z152"/>
  <c r="AE242"/>
  <c r="AD151"/>
  <c r="AD149"/>
  <c r="AD152"/>
  <c r="AI242"/>
  <c r="AH151"/>
  <c r="AH149"/>
  <c r="AH152"/>
  <c r="AL151"/>
  <c r="AL149"/>
  <c r="AL152"/>
  <c r="J159"/>
  <c r="J157"/>
  <c r="J160"/>
  <c r="N157"/>
  <c r="N159"/>
  <c r="N160"/>
  <c r="R159"/>
  <c r="R172"/>
  <c r="R157"/>
  <c r="R160"/>
  <c r="V157"/>
  <c r="V160"/>
  <c r="V159"/>
  <c r="Z159"/>
  <c r="Z157"/>
  <c r="Z160"/>
  <c r="AD157"/>
  <c r="AD159"/>
  <c r="AD160"/>
  <c r="AH159"/>
  <c r="AH172"/>
  <c r="AH157"/>
  <c r="AH160"/>
  <c r="AL157"/>
  <c r="AL159"/>
  <c r="AL160"/>
  <c r="K172"/>
  <c r="J163"/>
  <c r="J161"/>
  <c r="J162"/>
  <c r="K117"/>
  <c r="O172"/>
  <c r="N161"/>
  <c r="N163"/>
  <c r="O117"/>
  <c r="N162"/>
  <c r="S172"/>
  <c r="R163"/>
  <c r="R161"/>
  <c r="R162"/>
  <c r="S117"/>
  <c r="W172"/>
  <c r="V161"/>
  <c r="V163"/>
  <c r="W117"/>
  <c r="V162"/>
  <c r="AA172"/>
  <c r="Z163"/>
  <c r="Z161"/>
  <c r="Z162"/>
  <c r="AA117"/>
  <c r="AE172"/>
  <c r="AD161"/>
  <c r="AD163"/>
  <c r="AE117"/>
  <c r="AD162"/>
  <c r="AI172"/>
  <c r="AH163"/>
  <c r="AH162"/>
  <c r="AI117"/>
  <c r="AH161"/>
  <c r="AL161"/>
  <c r="AL163"/>
  <c r="AL162"/>
  <c r="L162"/>
  <c r="L165"/>
  <c r="T162"/>
  <c r="T165"/>
  <c r="AB162"/>
  <c r="AB165"/>
  <c r="AJ165"/>
  <c r="AJ162"/>
  <c r="H172"/>
  <c r="J55"/>
  <c r="Z55"/>
  <c r="L58"/>
  <c r="AB58"/>
  <c r="J129"/>
  <c r="N129"/>
  <c r="R129"/>
  <c r="V129"/>
  <c r="Z129"/>
  <c r="AD129"/>
  <c r="AH129"/>
  <c r="AL129"/>
  <c r="J133"/>
  <c r="N133"/>
  <c r="R133"/>
  <c r="V133"/>
  <c r="Z133"/>
  <c r="AD133"/>
  <c r="AH133"/>
  <c r="AL133"/>
  <c r="L140"/>
  <c r="P140"/>
  <c r="T140"/>
  <c r="X140"/>
  <c r="AB140"/>
  <c r="AF140"/>
  <c r="AJ140"/>
  <c r="P110"/>
  <c r="AF110"/>
  <c r="R116"/>
  <c r="AH116"/>
  <c r="T117"/>
  <c r="AJ117"/>
  <c r="L121"/>
  <c r="AB121"/>
  <c r="T125"/>
  <c r="AJ125"/>
  <c r="V126"/>
  <c r="AL126"/>
  <c r="J128"/>
  <c r="Z128"/>
  <c r="N130"/>
  <c r="AD130"/>
  <c r="R132"/>
  <c r="AH132"/>
  <c r="T141"/>
  <c r="AJ141"/>
  <c r="X143"/>
  <c r="J144"/>
  <c r="Z144"/>
  <c r="N146"/>
  <c r="AD146"/>
  <c r="R148"/>
  <c r="AH148"/>
  <c r="T149"/>
  <c r="AJ149"/>
  <c r="V150"/>
  <c r="AL150"/>
  <c r="V172"/>
  <c r="AL172"/>
  <c r="F55"/>
  <c r="V55"/>
  <c r="AL55"/>
  <c r="J173"/>
  <c r="Z173"/>
  <c r="L110"/>
  <c r="AB110"/>
  <c r="N116"/>
  <c r="AD116"/>
  <c r="P117"/>
  <c r="AF117"/>
  <c r="X121"/>
  <c r="P125"/>
  <c r="AF125"/>
  <c r="R126"/>
  <c r="AH126"/>
  <c r="V128"/>
  <c r="AL128"/>
  <c r="J130"/>
  <c r="Z130"/>
  <c r="N132"/>
  <c r="AD132"/>
  <c r="AL136"/>
  <c r="P141"/>
  <c r="AF141"/>
  <c r="T143"/>
  <c r="AJ143"/>
  <c r="V144"/>
  <c r="AL144"/>
  <c r="J146"/>
  <c r="Z146"/>
  <c r="N148"/>
  <c r="AD148"/>
  <c r="P149"/>
  <c r="AF149"/>
  <c r="R150"/>
  <c r="AH150"/>
  <c r="AB203"/>
  <c r="AB204"/>
  <c r="AB205"/>
  <c r="AB201"/>
  <c r="AB206"/>
  <c r="AB202"/>
  <c r="H224"/>
  <c r="I245"/>
  <c r="M245"/>
  <c r="L224"/>
  <c r="P224"/>
  <c r="Q245"/>
  <c r="T224"/>
  <c r="U245"/>
  <c r="X224"/>
  <c r="Y245"/>
  <c r="AC245"/>
  <c r="AB224"/>
  <c r="AF224"/>
  <c r="AG245"/>
  <c r="AJ224"/>
  <c r="AK245"/>
  <c r="M230"/>
  <c r="L130"/>
  <c r="Q230"/>
  <c r="P130"/>
  <c r="U230"/>
  <c r="T130"/>
  <c r="Y230"/>
  <c r="X130"/>
  <c r="AC230"/>
  <c r="AB130"/>
  <c r="AG230"/>
  <c r="AF130"/>
  <c r="AK230"/>
  <c r="AJ130"/>
  <c r="G233"/>
  <c r="H233"/>
  <c r="M237"/>
  <c r="L134"/>
  <c r="Q237"/>
  <c r="P134"/>
  <c r="U237"/>
  <c r="T134"/>
  <c r="Y237"/>
  <c r="X134"/>
  <c r="AC237"/>
  <c r="AB134"/>
  <c r="AG237"/>
  <c r="AF134"/>
  <c r="AK237"/>
  <c r="AJ134"/>
  <c r="G243"/>
  <c r="H243"/>
  <c r="K243"/>
  <c r="J137"/>
  <c r="O243"/>
  <c r="N137"/>
  <c r="S243"/>
  <c r="R137"/>
  <c r="W243"/>
  <c r="V137"/>
  <c r="AA243"/>
  <c r="Z137"/>
  <c r="AE243"/>
  <c r="AD137"/>
  <c r="AI243"/>
  <c r="AH137"/>
  <c r="I173"/>
  <c r="I119"/>
  <c r="M173"/>
  <c r="L138"/>
  <c r="M119"/>
  <c r="Q173"/>
  <c r="P138"/>
  <c r="Q119"/>
  <c r="U173"/>
  <c r="T138"/>
  <c r="U119"/>
  <c r="Y173"/>
  <c r="X138"/>
  <c r="Y119"/>
  <c r="AC173"/>
  <c r="AB138"/>
  <c r="AC119"/>
  <c r="AG173"/>
  <c r="AF138"/>
  <c r="AG119"/>
  <c r="AK173"/>
  <c r="AJ138"/>
  <c r="AK119"/>
  <c r="R139"/>
  <c r="R173"/>
  <c r="AH139"/>
  <c r="AH173"/>
  <c r="L122"/>
  <c r="P122"/>
  <c r="T122"/>
  <c r="X122"/>
  <c r="AB122"/>
  <c r="AF122"/>
  <c r="AJ122"/>
  <c r="R55"/>
  <c r="AH55"/>
  <c r="X110"/>
  <c r="J116"/>
  <c r="Z116"/>
  <c r="L117"/>
  <c r="AB117"/>
  <c r="T121"/>
  <c r="AJ121"/>
  <c r="L125"/>
  <c r="AB125"/>
  <c r="N126"/>
  <c r="AD126"/>
  <c r="R128"/>
  <c r="AH128"/>
  <c r="V130"/>
  <c r="AL130"/>
  <c r="J132"/>
  <c r="Z132"/>
  <c r="P135"/>
  <c r="AF135"/>
  <c r="R136"/>
  <c r="AH136"/>
  <c r="L141"/>
  <c r="AB141"/>
  <c r="P143"/>
  <c r="AF143"/>
  <c r="R144"/>
  <c r="AH144"/>
  <c r="T145"/>
  <c r="AJ145"/>
  <c r="V146"/>
  <c r="AL146"/>
  <c r="X147"/>
  <c r="J148"/>
  <c r="Z148"/>
  <c r="L149"/>
  <c r="AB149"/>
  <c r="N150"/>
  <c r="AD150"/>
  <c r="G215"/>
  <c r="G189" s="1"/>
  <c r="G214"/>
  <c r="H188" s="1"/>
  <c r="G171"/>
  <c r="L228"/>
  <c r="K215"/>
  <c r="K214"/>
  <c r="K182"/>
  <c r="K180"/>
  <c r="K188"/>
  <c r="K171"/>
  <c r="P228"/>
  <c r="O215"/>
  <c r="O214"/>
  <c r="P188" s="1"/>
  <c r="O182"/>
  <c r="O180"/>
  <c r="O171"/>
  <c r="T228"/>
  <c r="S214"/>
  <c r="S197"/>
  <c r="S215"/>
  <c r="S189" s="1"/>
  <c r="S182"/>
  <c r="S180"/>
  <c r="S171"/>
  <c r="X228"/>
  <c r="W199"/>
  <c r="W195"/>
  <c r="W196"/>
  <c r="W192"/>
  <c r="W215"/>
  <c r="W214"/>
  <c r="W197"/>
  <c r="W193"/>
  <c r="W189"/>
  <c r="W194"/>
  <c r="W191"/>
  <c r="W182"/>
  <c r="W180"/>
  <c r="W198"/>
  <c r="W190"/>
  <c r="W171"/>
  <c r="AB228"/>
  <c r="AA199"/>
  <c r="AA195"/>
  <c r="AA215"/>
  <c r="AA196"/>
  <c r="AA192"/>
  <c r="AA214"/>
  <c r="AA197"/>
  <c r="AA193"/>
  <c r="AA189"/>
  <c r="AA182"/>
  <c r="AA180"/>
  <c r="AA194"/>
  <c r="AA188"/>
  <c r="AA191"/>
  <c r="AA171"/>
  <c r="AF228"/>
  <c r="AE215"/>
  <c r="AE199"/>
  <c r="AE195"/>
  <c r="AE196"/>
  <c r="AE192"/>
  <c r="AE214"/>
  <c r="AE197"/>
  <c r="AE193"/>
  <c r="AE189"/>
  <c r="AE188"/>
  <c r="AE182"/>
  <c r="AE180"/>
  <c r="AE190"/>
  <c r="AE198"/>
  <c r="AE171"/>
  <c r="AJ228"/>
  <c r="AI199"/>
  <c r="AI195"/>
  <c r="AI196"/>
  <c r="AI192"/>
  <c r="AI214"/>
  <c r="AI197"/>
  <c r="AI193"/>
  <c r="AI189"/>
  <c r="AI198"/>
  <c r="AI190"/>
  <c r="AI182"/>
  <c r="AI180"/>
  <c r="AI191"/>
  <c r="AI215"/>
  <c r="AI194"/>
  <c r="AI188"/>
  <c r="AI171"/>
  <c r="F229"/>
  <c r="E216"/>
  <c r="E169"/>
  <c r="J229"/>
  <c r="I216"/>
  <c r="I169"/>
  <c r="N229"/>
  <c r="M216"/>
  <c r="M169"/>
  <c r="R229"/>
  <c r="Q169"/>
  <c r="V229"/>
  <c r="U216"/>
  <c r="U190" s="1"/>
  <c r="U169"/>
  <c r="Z229"/>
  <c r="Y216"/>
  <c r="Y169"/>
  <c r="AD229"/>
  <c r="AC216"/>
  <c r="AC169"/>
  <c r="AH229"/>
  <c r="AG216"/>
  <c r="AG169"/>
  <c r="AL229"/>
  <c r="AK216"/>
  <c r="AK169"/>
  <c r="G218"/>
  <c r="G192" s="1"/>
  <c r="G217"/>
  <c r="L231"/>
  <c r="K218"/>
  <c r="K217"/>
  <c r="K191" s="1"/>
  <c r="P231"/>
  <c r="O218"/>
  <c r="O217"/>
  <c r="T231"/>
  <c r="S218"/>
  <c r="S217"/>
  <c r="X231"/>
  <c r="W218"/>
  <c r="W217"/>
  <c r="AB231"/>
  <c r="AA218"/>
  <c r="AA217"/>
  <c r="AF231"/>
  <c r="AE218"/>
  <c r="AE217"/>
  <c r="AJ231"/>
  <c r="AI218"/>
  <c r="AI217"/>
  <c r="F232"/>
  <c r="E219"/>
  <c r="F193" s="1"/>
  <c r="J232"/>
  <c r="I219"/>
  <c r="N232"/>
  <c r="M219"/>
  <c r="N193" s="1"/>
  <c r="R232"/>
  <c r="Q219"/>
  <c r="V232"/>
  <c r="U219"/>
  <c r="U193" s="1"/>
  <c r="Z232"/>
  <c r="Y219"/>
  <c r="AD232"/>
  <c r="AC219"/>
  <c r="AH232"/>
  <c r="AG219"/>
  <c r="AL232"/>
  <c r="AK219"/>
  <c r="E220"/>
  <c r="F234"/>
  <c r="E221"/>
  <c r="I220"/>
  <c r="I194" s="1"/>
  <c r="J234"/>
  <c r="I221"/>
  <c r="M220"/>
  <c r="N234"/>
  <c r="M221"/>
  <c r="Q220"/>
  <c r="R234"/>
  <c r="Q221"/>
  <c r="U220"/>
  <c r="V234"/>
  <c r="U221"/>
  <c r="U195" s="1"/>
  <c r="Y220"/>
  <c r="Z234"/>
  <c r="Y221"/>
  <c r="AC220"/>
  <c r="AD234"/>
  <c r="AC221"/>
  <c r="AG220"/>
  <c r="AH234"/>
  <c r="AG221"/>
  <c r="AK220"/>
  <c r="AL234"/>
  <c r="AK221"/>
  <c r="G225"/>
  <c r="G199" s="1"/>
  <c r="G223"/>
  <c r="G222"/>
  <c r="G196" s="1"/>
  <c r="G170"/>
  <c r="K225"/>
  <c r="K223"/>
  <c r="K197" s="1"/>
  <c r="L235"/>
  <c r="L236"/>
  <c r="K222"/>
  <c r="K196" s="1"/>
  <c r="K170"/>
  <c r="O225"/>
  <c r="O199" s="1"/>
  <c r="O223"/>
  <c r="P235"/>
  <c r="P236"/>
  <c r="O222"/>
  <c r="O196" s="1"/>
  <c r="O170"/>
  <c r="S225"/>
  <c r="S223"/>
  <c r="T235"/>
  <c r="T236"/>
  <c r="S222"/>
  <c r="S196" s="1"/>
  <c r="S170"/>
  <c r="W225"/>
  <c r="W223"/>
  <c r="X235"/>
  <c r="X236"/>
  <c r="W222"/>
  <c r="W170"/>
  <c r="AA225"/>
  <c r="AA223"/>
  <c r="AB235"/>
  <c r="AB236"/>
  <c r="AA222"/>
  <c r="AA170"/>
  <c r="AE225"/>
  <c r="AE223"/>
  <c r="AF235"/>
  <c r="AF236"/>
  <c r="AE222"/>
  <c r="AE170"/>
  <c r="AI225"/>
  <c r="AI223"/>
  <c r="AJ235"/>
  <c r="AJ236"/>
  <c r="AI222"/>
  <c r="AI170"/>
  <c r="L240"/>
  <c r="K166"/>
  <c r="P240"/>
  <c r="O166"/>
  <c r="T240"/>
  <c r="S166"/>
  <c r="X240"/>
  <c r="W166"/>
  <c r="AB240"/>
  <c r="AA166"/>
  <c r="AF240"/>
  <c r="AE166"/>
  <c r="AJ240"/>
  <c r="AI166"/>
  <c r="K160"/>
  <c r="K159"/>
  <c r="K157"/>
  <c r="O160"/>
  <c r="O159"/>
  <c r="O157"/>
  <c r="S160"/>
  <c r="S159"/>
  <c r="S157"/>
  <c r="W160"/>
  <c r="W159"/>
  <c r="W157"/>
  <c r="AA160"/>
  <c r="AA159"/>
  <c r="AA157"/>
  <c r="AE160"/>
  <c r="AE159"/>
  <c r="AE157"/>
  <c r="AI160"/>
  <c r="AI159"/>
  <c r="AI157"/>
  <c r="L172"/>
  <c r="K162"/>
  <c r="K163"/>
  <c r="K161"/>
  <c r="P172"/>
  <c r="O162"/>
  <c r="O163"/>
  <c r="O161"/>
  <c r="T172"/>
  <c r="S162"/>
  <c r="S163"/>
  <c r="S161"/>
  <c r="X172"/>
  <c r="W162"/>
  <c r="W163"/>
  <c r="W161"/>
  <c r="AB172"/>
  <c r="AA162"/>
  <c r="AA163"/>
  <c r="AA161"/>
  <c r="AF172"/>
  <c r="AE162"/>
  <c r="AE163"/>
  <c r="AE161"/>
  <c r="AJ172"/>
  <c r="AI162"/>
  <c r="AI163"/>
  <c r="AI161"/>
  <c r="F245"/>
  <c r="E224"/>
  <c r="F198" s="1"/>
  <c r="J245"/>
  <c r="I224"/>
  <c r="N245"/>
  <c r="M224"/>
  <c r="R245"/>
  <c r="Q224"/>
  <c r="V245"/>
  <c r="U224"/>
  <c r="Z245"/>
  <c r="Y224"/>
  <c r="AD245"/>
  <c r="AC224"/>
  <c r="AH245"/>
  <c r="AG224"/>
  <c r="AL245"/>
  <c r="AK224"/>
  <c r="G55"/>
  <c r="K55"/>
  <c r="O55"/>
  <c r="S55"/>
  <c r="W55"/>
  <c r="AA55"/>
  <c r="AE55"/>
  <c r="AI55"/>
  <c r="I58"/>
  <c r="M58"/>
  <c r="Q58"/>
  <c r="U58"/>
  <c r="Y58"/>
  <c r="AC58"/>
  <c r="AG58"/>
  <c r="AK58"/>
  <c r="K59"/>
  <c r="O59"/>
  <c r="S59"/>
  <c r="W59"/>
  <c r="AA59"/>
  <c r="AE59"/>
  <c r="AI59"/>
  <c r="F173"/>
  <c r="I110"/>
  <c r="M110"/>
  <c r="Q110"/>
  <c r="U110"/>
  <c r="Y110"/>
  <c r="AC110"/>
  <c r="AG110"/>
  <c r="AK110"/>
  <c r="K116"/>
  <c r="O116"/>
  <c r="S116"/>
  <c r="W116"/>
  <c r="AA116"/>
  <c r="AE116"/>
  <c r="AI116"/>
  <c r="M117"/>
  <c r="Q117"/>
  <c r="U117"/>
  <c r="Y117"/>
  <c r="AC117"/>
  <c r="AG117"/>
  <c r="AK117"/>
  <c r="K120"/>
  <c r="O120"/>
  <c r="S120"/>
  <c r="W120"/>
  <c r="AA120"/>
  <c r="AE120"/>
  <c r="AI120"/>
  <c r="I121"/>
  <c r="M121"/>
  <c r="Q121"/>
  <c r="U121"/>
  <c r="Y121"/>
  <c r="AC121"/>
  <c r="AG121"/>
  <c r="AK121"/>
  <c r="I125"/>
  <c r="M125"/>
  <c r="Q125"/>
  <c r="U125"/>
  <c r="Y125"/>
  <c r="AC125"/>
  <c r="AG125"/>
  <c r="AK125"/>
  <c r="K126"/>
  <c r="O126"/>
  <c r="S126"/>
  <c r="W126"/>
  <c r="AA126"/>
  <c r="AE126"/>
  <c r="AI126"/>
  <c r="M127"/>
  <c r="AK127"/>
  <c r="K128"/>
  <c r="O128"/>
  <c r="S128"/>
  <c r="W128"/>
  <c r="AA128"/>
  <c r="AE128"/>
  <c r="AI128"/>
  <c r="K130"/>
  <c r="O130"/>
  <c r="S130"/>
  <c r="W130"/>
  <c r="AA130"/>
  <c r="AE130"/>
  <c r="AI130"/>
  <c r="K132"/>
  <c r="O132"/>
  <c r="S132"/>
  <c r="W132"/>
  <c r="AA132"/>
  <c r="AE132"/>
  <c r="AI132"/>
  <c r="K134"/>
  <c r="O134"/>
  <c r="S134"/>
  <c r="W134"/>
  <c r="AA134"/>
  <c r="AE134"/>
  <c r="AI134"/>
  <c r="I135"/>
  <c r="M135"/>
  <c r="Q135"/>
  <c r="U135"/>
  <c r="Y135"/>
  <c r="AC135"/>
  <c r="AG135"/>
  <c r="AK135"/>
  <c r="K136"/>
  <c r="O136"/>
  <c r="S136"/>
  <c r="W136"/>
  <c r="AA136"/>
  <c r="AE136"/>
  <c r="AI136"/>
  <c r="M137"/>
  <c r="Q137"/>
  <c r="U137"/>
  <c r="Y137"/>
  <c r="AC137"/>
  <c r="AG137"/>
  <c r="AK137"/>
  <c r="I141"/>
  <c r="M141"/>
  <c r="Q141"/>
  <c r="U141"/>
  <c r="Y141"/>
  <c r="AC141"/>
  <c r="AG141"/>
  <c r="AK141"/>
  <c r="K142"/>
  <c r="O142"/>
  <c r="S142"/>
  <c r="W142"/>
  <c r="AA142"/>
  <c r="AE142"/>
  <c r="AI142"/>
  <c r="K144"/>
  <c r="O144"/>
  <c r="S144"/>
  <c r="W144"/>
  <c r="AA144"/>
  <c r="AE144"/>
  <c r="AI144"/>
  <c r="I145"/>
  <c r="M145"/>
  <c r="Q145"/>
  <c r="U145"/>
  <c r="Y145"/>
  <c r="AC145"/>
  <c r="AG145"/>
  <c r="AK145"/>
  <c r="K146"/>
  <c r="O146"/>
  <c r="S146"/>
  <c r="W146"/>
  <c r="AA146"/>
  <c r="AE146"/>
  <c r="AI146"/>
  <c r="K148"/>
  <c r="O148"/>
  <c r="S148"/>
  <c r="W148"/>
  <c r="AA148"/>
  <c r="AE148"/>
  <c r="AI148"/>
  <c r="I149"/>
  <c r="M149"/>
  <c r="Q149"/>
  <c r="U149"/>
  <c r="Y149"/>
  <c r="AC149"/>
  <c r="AG149"/>
  <c r="AK149"/>
  <c r="K150"/>
  <c r="O150"/>
  <c r="S150"/>
  <c r="W150"/>
  <c r="AA150"/>
  <c r="AE150"/>
  <c r="AI150"/>
  <c r="Y151"/>
  <c r="AC151"/>
  <c r="AG151"/>
  <c r="AK151"/>
  <c r="K152"/>
  <c r="O152"/>
  <c r="S152"/>
  <c r="W152"/>
  <c r="AA152"/>
  <c r="AE152"/>
  <c r="AI152"/>
  <c r="L157"/>
  <c r="T157"/>
  <c r="AB157"/>
  <c r="AJ157"/>
  <c r="P159"/>
  <c r="X159"/>
  <c r="AF159"/>
  <c r="L161"/>
  <c r="T161"/>
  <c r="AB161"/>
  <c r="AJ161"/>
  <c r="P163"/>
  <c r="X163"/>
  <c r="AF163"/>
  <c r="AB166"/>
  <c r="V173"/>
  <c r="AL173"/>
  <c r="K181"/>
  <c r="AA181"/>
  <c r="M182"/>
  <c r="O183"/>
  <c r="AE183"/>
  <c r="W188"/>
  <c r="AE191"/>
  <c r="P222"/>
  <c r="P196" s="1"/>
  <c r="F228"/>
  <c r="E214"/>
  <c r="E215"/>
  <c r="F189" s="1"/>
  <c r="E171"/>
  <c r="J228"/>
  <c r="I214"/>
  <c r="I215"/>
  <c r="I183"/>
  <c r="I181"/>
  <c r="I171"/>
  <c r="N228"/>
  <c r="M214"/>
  <c r="M215"/>
  <c r="M183"/>
  <c r="M181"/>
  <c r="M171"/>
  <c r="R228"/>
  <c r="Q215"/>
  <c r="R189" s="1"/>
  <c r="Q214"/>
  <c r="Q183"/>
  <c r="Q181"/>
  <c r="Q171"/>
  <c r="V228"/>
  <c r="U215"/>
  <c r="U214"/>
  <c r="U194"/>
  <c r="U183"/>
  <c r="U181"/>
  <c r="U171"/>
  <c r="Z228"/>
  <c r="Y215"/>
  <c r="Y214"/>
  <c r="Y197"/>
  <c r="Y193"/>
  <c r="Y198"/>
  <c r="Y194"/>
  <c r="Y199"/>
  <c r="Y195"/>
  <c r="Y191"/>
  <c r="Y192"/>
  <c r="Y189"/>
  <c r="Y183"/>
  <c r="Y181"/>
  <c r="Y196"/>
  <c r="Y190"/>
  <c r="Y171"/>
  <c r="Y188"/>
  <c r="AD228"/>
  <c r="AC215"/>
  <c r="AC214"/>
  <c r="AC197"/>
  <c r="AC193"/>
  <c r="AC198"/>
  <c r="AC194"/>
  <c r="AC199"/>
  <c r="AC195"/>
  <c r="AC191"/>
  <c r="AC190"/>
  <c r="AC183"/>
  <c r="AC181"/>
  <c r="AC192"/>
  <c r="AC171"/>
  <c r="AC189"/>
  <c r="AH228"/>
  <c r="AG215"/>
  <c r="AG214"/>
  <c r="AG197"/>
  <c r="AG193"/>
  <c r="AG198"/>
  <c r="AG194"/>
  <c r="AG199"/>
  <c r="AG195"/>
  <c r="AG191"/>
  <c r="AG183"/>
  <c r="AG181"/>
  <c r="AG188"/>
  <c r="AG171"/>
  <c r="AG196"/>
  <c r="AG190"/>
  <c r="AL228"/>
  <c r="AK215"/>
  <c r="AK214"/>
  <c r="AK197"/>
  <c r="AK193"/>
  <c r="AK198"/>
  <c r="AK194"/>
  <c r="AK199"/>
  <c r="AK195"/>
  <c r="AK191"/>
  <c r="AK196"/>
  <c r="AK188"/>
  <c r="AK183"/>
  <c r="AK181"/>
  <c r="AK189"/>
  <c r="AK171"/>
  <c r="AK192"/>
  <c r="G216"/>
  <c r="G169"/>
  <c r="K216"/>
  <c r="L229"/>
  <c r="K169"/>
  <c r="O216"/>
  <c r="P190" s="1"/>
  <c r="P229"/>
  <c r="O169"/>
  <c r="S216"/>
  <c r="T229"/>
  <c r="S169"/>
  <c r="W216"/>
  <c r="X229"/>
  <c r="W169"/>
  <c r="AA216"/>
  <c r="AB229"/>
  <c r="AA169"/>
  <c r="AE216"/>
  <c r="AF229"/>
  <c r="AE169"/>
  <c r="AI216"/>
  <c r="AJ229"/>
  <c r="AI169"/>
  <c r="E217"/>
  <c r="E218"/>
  <c r="F231"/>
  <c r="I217"/>
  <c r="J231"/>
  <c r="I218"/>
  <c r="M217"/>
  <c r="N231"/>
  <c r="Q217"/>
  <c r="R231"/>
  <c r="Q218"/>
  <c r="R192" s="1"/>
  <c r="U217"/>
  <c r="U218"/>
  <c r="V231"/>
  <c r="Y217"/>
  <c r="Z231"/>
  <c r="Y218"/>
  <c r="AC217"/>
  <c r="AD231"/>
  <c r="AC218"/>
  <c r="AG217"/>
  <c r="AH231"/>
  <c r="AG218"/>
  <c r="AK217"/>
  <c r="AK218"/>
  <c r="L232"/>
  <c r="K219"/>
  <c r="L193" s="1"/>
  <c r="P232"/>
  <c r="O219"/>
  <c r="T232"/>
  <c r="S219"/>
  <c r="X232"/>
  <c r="W219"/>
  <c r="AB232"/>
  <c r="AA219"/>
  <c r="AF232"/>
  <c r="AE219"/>
  <c r="AJ232"/>
  <c r="AI219"/>
  <c r="G221"/>
  <c r="G220"/>
  <c r="L234"/>
  <c r="K221"/>
  <c r="K220"/>
  <c r="P234"/>
  <c r="O221"/>
  <c r="O220"/>
  <c r="T234"/>
  <c r="S221"/>
  <c r="T195" s="1"/>
  <c r="S220"/>
  <c r="X234"/>
  <c r="W221"/>
  <c r="W220"/>
  <c r="AB234"/>
  <c r="AA221"/>
  <c r="AA220"/>
  <c r="AF234"/>
  <c r="AE221"/>
  <c r="AE220"/>
  <c r="AJ234"/>
  <c r="AI221"/>
  <c r="AI220"/>
  <c r="F236"/>
  <c r="E222"/>
  <c r="F196" s="1"/>
  <c r="E225"/>
  <c r="F199" s="1"/>
  <c r="E223"/>
  <c r="F235"/>
  <c r="E170"/>
  <c r="J236"/>
  <c r="I222"/>
  <c r="J196" s="1"/>
  <c r="I225"/>
  <c r="J199" s="1"/>
  <c r="I223"/>
  <c r="J197" s="1"/>
  <c r="J235"/>
  <c r="I170"/>
  <c r="N236"/>
  <c r="M222"/>
  <c r="N196" s="1"/>
  <c r="M225"/>
  <c r="N199" s="1"/>
  <c r="M223"/>
  <c r="N235"/>
  <c r="M170"/>
  <c r="R236"/>
  <c r="Q222"/>
  <c r="R196" s="1"/>
  <c r="Q225"/>
  <c r="R199" s="1"/>
  <c r="Q223"/>
  <c r="R197" s="1"/>
  <c r="R235"/>
  <c r="Q170"/>
  <c r="V236"/>
  <c r="U222"/>
  <c r="U225"/>
  <c r="U223"/>
  <c r="V235"/>
  <c r="U170"/>
  <c r="Z236"/>
  <c r="Y222"/>
  <c r="Y225"/>
  <c r="Y223"/>
  <c r="Z235"/>
  <c r="Y170"/>
  <c r="AD236"/>
  <c r="AC222"/>
  <c r="AC225"/>
  <c r="AC223"/>
  <c r="AD235"/>
  <c r="AC170"/>
  <c r="AH236"/>
  <c r="AG222"/>
  <c r="AG225"/>
  <c r="AG223"/>
  <c r="AG170"/>
  <c r="AL236"/>
  <c r="AK222"/>
  <c r="AK225"/>
  <c r="AK223"/>
  <c r="AL235"/>
  <c r="AK170"/>
  <c r="J240"/>
  <c r="I166"/>
  <c r="N240"/>
  <c r="M166"/>
  <c r="R240"/>
  <c r="Q166"/>
  <c r="V240"/>
  <c r="U166"/>
  <c r="Z240"/>
  <c r="Y166"/>
  <c r="AD240"/>
  <c r="AC166"/>
  <c r="AH240"/>
  <c r="AG166"/>
  <c r="AL240"/>
  <c r="AK166"/>
  <c r="I159"/>
  <c r="I157"/>
  <c r="I160"/>
  <c r="M159"/>
  <c r="M157"/>
  <c r="M160"/>
  <c r="Q159"/>
  <c r="Q157"/>
  <c r="Q160"/>
  <c r="U159"/>
  <c r="U157"/>
  <c r="U160"/>
  <c r="Y159"/>
  <c r="Y157"/>
  <c r="Y160"/>
  <c r="AC159"/>
  <c r="AC157"/>
  <c r="AC160"/>
  <c r="AG159"/>
  <c r="AG157"/>
  <c r="AG160"/>
  <c r="AK159"/>
  <c r="AK157"/>
  <c r="AK160"/>
  <c r="I163"/>
  <c r="I161"/>
  <c r="I162"/>
  <c r="M163"/>
  <c r="M161"/>
  <c r="M162"/>
  <c r="Q163"/>
  <c r="Q161"/>
  <c r="Q162"/>
  <c r="U163"/>
  <c r="U161"/>
  <c r="U162"/>
  <c r="Y163"/>
  <c r="Y161"/>
  <c r="Y162"/>
  <c r="AC163"/>
  <c r="AC161"/>
  <c r="AC162"/>
  <c r="AG163"/>
  <c r="AG161"/>
  <c r="AG162"/>
  <c r="AK163"/>
  <c r="AK161"/>
  <c r="AK162"/>
  <c r="H245"/>
  <c r="G224"/>
  <c r="L245"/>
  <c r="K224"/>
  <c r="L198" s="1"/>
  <c r="P245"/>
  <c r="O224"/>
  <c r="T245"/>
  <c r="S224"/>
  <c r="T198" s="1"/>
  <c r="X245"/>
  <c r="W224"/>
  <c r="AB245"/>
  <c r="AA224"/>
  <c r="AF245"/>
  <c r="AE224"/>
  <c r="AJ245"/>
  <c r="AI224"/>
  <c r="F240"/>
  <c r="L241"/>
  <c r="P241"/>
  <c r="T241"/>
  <c r="F242"/>
  <c r="J242"/>
  <c r="N242"/>
  <c r="R242"/>
  <c r="V242"/>
  <c r="F172"/>
  <c r="E55"/>
  <c r="I55"/>
  <c r="M55"/>
  <c r="Q55"/>
  <c r="U55"/>
  <c r="Y55"/>
  <c r="AC55"/>
  <c r="AG55"/>
  <c r="AK55"/>
  <c r="F246"/>
  <c r="J246"/>
  <c r="N246"/>
  <c r="R246"/>
  <c r="V246"/>
  <c r="J247"/>
  <c r="H248"/>
  <c r="L248"/>
  <c r="J233"/>
  <c r="J243"/>
  <c r="L173"/>
  <c r="P173"/>
  <c r="T173"/>
  <c r="X173"/>
  <c r="AB173"/>
  <c r="AF173"/>
  <c r="AJ173"/>
  <c r="K110"/>
  <c r="O110"/>
  <c r="S110"/>
  <c r="W110"/>
  <c r="AA110"/>
  <c r="AE110"/>
  <c r="AI110"/>
  <c r="I116"/>
  <c r="M116"/>
  <c r="Q116"/>
  <c r="U116"/>
  <c r="Y116"/>
  <c r="AC116"/>
  <c r="AG116"/>
  <c r="AK116"/>
  <c r="I124"/>
  <c r="M124"/>
  <c r="Q124"/>
  <c r="U124"/>
  <c r="Y124"/>
  <c r="AC124"/>
  <c r="AG124"/>
  <c r="AK124"/>
  <c r="K125"/>
  <c r="O125"/>
  <c r="S125"/>
  <c r="W125"/>
  <c r="AA125"/>
  <c r="AE125"/>
  <c r="AI125"/>
  <c r="I126"/>
  <c r="M126"/>
  <c r="Q126"/>
  <c r="U126"/>
  <c r="Y126"/>
  <c r="AC126"/>
  <c r="AG126"/>
  <c r="AK126"/>
  <c r="K127"/>
  <c r="O127"/>
  <c r="S127"/>
  <c r="W127"/>
  <c r="AA127"/>
  <c r="AE127"/>
  <c r="AI127"/>
  <c r="I128"/>
  <c r="M128"/>
  <c r="Q128"/>
  <c r="U128"/>
  <c r="Y128"/>
  <c r="AC128"/>
  <c r="AG128"/>
  <c r="AK128"/>
  <c r="I130"/>
  <c r="M130"/>
  <c r="Q130"/>
  <c r="U130"/>
  <c r="Y130"/>
  <c r="AC130"/>
  <c r="AG130"/>
  <c r="AK130"/>
  <c r="I132"/>
  <c r="M132"/>
  <c r="Q132"/>
  <c r="U132"/>
  <c r="Y132"/>
  <c r="AC132"/>
  <c r="AG132"/>
  <c r="AK132"/>
  <c r="I134"/>
  <c r="M134"/>
  <c r="Q134"/>
  <c r="U134"/>
  <c r="Y134"/>
  <c r="AC134"/>
  <c r="AG134"/>
  <c r="AK134"/>
  <c r="K135"/>
  <c r="O135"/>
  <c r="S135"/>
  <c r="W135"/>
  <c r="AA135"/>
  <c r="AI135"/>
  <c r="I136"/>
  <c r="M136"/>
  <c r="Q136"/>
  <c r="U136"/>
  <c r="Y136"/>
  <c r="AC136"/>
  <c r="AG136"/>
  <c r="AK136"/>
  <c r="K137"/>
  <c r="O137"/>
  <c r="S137"/>
  <c r="W137"/>
  <c r="AA137"/>
  <c r="AE137"/>
  <c r="AI137"/>
  <c r="I138"/>
  <c r="M138"/>
  <c r="Q138"/>
  <c r="U138"/>
  <c r="Y138"/>
  <c r="AC138"/>
  <c r="AG138"/>
  <c r="AK138"/>
  <c r="K141"/>
  <c r="O141"/>
  <c r="S141"/>
  <c r="W141"/>
  <c r="AA141"/>
  <c r="AE141"/>
  <c r="AI141"/>
  <c r="I142"/>
  <c r="M142"/>
  <c r="Q142"/>
  <c r="U142"/>
  <c r="Y142"/>
  <c r="AC142"/>
  <c r="AG142"/>
  <c r="AK142"/>
  <c r="K143"/>
  <c r="O143"/>
  <c r="S143"/>
  <c r="W143"/>
  <c r="AA143"/>
  <c r="AE143"/>
  <c r="AI143"/>
  <c r="I144"/>
  <c r="M144"/>
  <c r="Q144"/>
  <c r="U144"/>
  <c r="Y144"/>
  <c r="AC144"/>
  <c r="AG144"/>
  <c r="AK144"/>
  <c r="K145"/>
  <c r="O145"/>
  <c r="S145"/>
  <c r="W145"/>
  <c r="AA145"/>
  <c r="AE145"/>
  <c r="AI145"/>
  <c r="I146"/>
  <c r="M146"/>
  <c r="Q146"/>
  <c r="U146"/>
  <c r="Y146"/>
  <c r="AC146"/>
  <c r="AG146"/>
  <c r="AK146"/>
  <c r="K147"/>
  <c r="O147"/>
  <c r="S147"/>
  <c r="W147"/>
  <c r="AA147"/>
  <c r="AE147"/>
  <c r="AI147"/>
  <c r="I148"/>
  <c r="M148"/>
  <c r="Q148"/>
  <c r="U148"/>
  <c r="Y148"/>
  <c r="AC148"/>
  <c r="AG148"/>
  <c r="AK148"/>
  <c r="K149"/>
  <c r="O149"/>
  <c r="S149"/>
  <c r="W149"/>
  <c r="AA149"/>
  <c r="AE149"/>
  <c r="AI149"/>
  <c r="I150"/>
  <c r="M150"/>
  <c r="Q150"/>
  <c r="U150"/>
  <c r="Y150"/>
  <c r="AC150"/>
  <c r="AG150"/>
  <c r="AK150"/>
  <c r="K151"/>
  <c r="O151"/>
  <c r="S151"/>
  <c r="W151"/>
  <c r="AA151"/>
  <c r="AE151"/>
  <c r="AI151"/>
  <c r="I152"/>
  <c r="M152"/>
  <c r="Q152"/>
  <c r="U152"/>
  <c r="Y152"/>
  <c r="AC152"/>
  <c r="AG152"/>
  <c r="AK152"/>
  <c r="L159"/>
  <c r="T159"/>
  <c r="AB159"/>
  <c r="AJ159"/>
  <c r="AJ166"/>
  <c r="N172"/>
  <c r="AD172"/>
  <c r="N173"/>
  <c r="AD173"/>
  <c r="Q180"/>
  <c r="AG180"/>
  <c r="S181"/>
  <c r="AI181"/>
  <c r="U182"/>
  <c r="AK182"/>
  <c r="W183"/>
  <c r="AL216"/>
  <c r="V219"/>
  <c r="AH235"/>
  <c r="H215"/>
  <c r="I189" s="1"/>
  <c r="H193"/>
  <c r="H171"/>
  <c r="H214"/>
  <c r="M228"/>
  <c r="L215"/>
  <c r="L171"/>
  <c r="L182"/>
  <c r="L180"/>
  <c r="L183"/>
  <c r="L181"/>
  <c r="Q228"/>
  <c r="P215"/>
  <c r="P195"/>
  <c r="P192"/>
  <c r="P171"/>
  <c r="P182"/>
  <c r="P180"/>
  <c r="P214"/>
  <c r="Q188" s="1"/>
  <c r="P183"/>
  <c r="P181"/>
  <c r="T215"/>
  <c r="T189" s="1"/>
  <c r="T194"/>
  <c r="U228"/>
  <c r="T192"/>
  <c r="T214"/>
  <c r="T188" s="1"/>
  <c r="T171"/>
  <c r="T190"/>
  <c r="T182"/>
  <c r="T180"/>
  <c r="T193"/>
  <c r="T183"/>
  <c r="T181"/>
  <c r="X198"/>
  <c r="X194"/>
  <c r="X199"/>
  <c r="X195"/>
  <c r="X196"/>
  <c r="X192"/>
  <c r="X188"/>
  <c r="X193"/>
  <c r="X190"/>
  <c r="X171"/>
  <c r="X215"/>
  <c r="X214"/>
  <c r="X197"/>
  <c r="X191"/>
  <c r="X182"/>
  <c r="X180"/>
  <c r="Y228"/>
  <c r="X189"/>
  <c r="X183"/>
  <c r="X181"/>
  <c r="AC228"/>
  <c r="AB198"/>
  <c r="AB194"/>
  <c r="AB199"/>
  <c r="AB195"/>
  <c r="AB215"/>
  <c r="AB196"/>
  <c r="AB192"/>
  <c r="AB188"/>
  <c r="AB191"/>
  <c r="AB171"/>
  <c r="AB193"/>
  <c r="AB182"/>
  <c r="AB180"/>
  <c r="AB190"/>
  <c r="AB183"/>
  <c r="AB181"/>
  <c r="AF198"/>
  <c r="AF194"/>
  <c r="AG228"/>
  <c r="AF215"/>
  <c r="AF199"/>
  <c r="AF195"/>
  <c r="AF196"/>
  <c r="AF192"/>
  <c r="AF188"/>
  <c r="AF171"/>
  <c r="AF189"/>
  <c r="AF182"/>
  <c r="AF180"/>
  <c r="AF214"/>
  <c r="AF197"/>
  <c r="AF191"/>
  <c r="AF183"/>
  <c r="AF181"/>
  <c r="AJ215"/>
  <c r="AJ198"/>
  <c r="AJ194"/>
  <c r="AJ199"/>
  <c r="AJ195"/>
  <c r="AK228"/>
  <c r="AJ196"/>
  <c r="AJ192"/>
  <c r="AJ188"/>
  <c r="AJ214"/>
  <c r="AJ197"/>
  <c r="AJ189"/>
  <c r="AJ171"/>
  <c r="AJ190"/>
  <c r="AJ182"/>
  <c r="AJ180"/>
  <c r="AJ193"/>
  <c r="AJ183"/>
  <c r="AJ181"/>
  <c r="G229"/>
  <c r="H229"/>
  <c r="F216"/>
  <c r="G190" s="1"/>
  <c r="K229"/>
  <c r="J216"/>
  <c r="K190" s="1"/>
  <c r="O229"/>
  <c r="N216"/>
  <c r="S229"/>
  <c r="R216"/>
  <c r="W229"/>
  <c r="V216"/>
  <c r="AA229"/>
  <c r="Z216"/>
  <c r="AE229"/>
  <c r="AD216"/>
  <c r="AI229"/>
  <c r="AH216"/>
  <c r="I231"/>
  <c r="H217"/>
  <c r="H218"/>
  <c r="I192" s="1"/>
  <c r="M231"/>
  <c r="L217"/>
  <c r="L218"/>
  <c r="M192" s="1"/>
  <c r="Q231"/>
  <c r="P217"/>
  <c r="P218"/>
  <c r="Q192" s="1"/>
  <c r="U231"/>
  <c r="T218"/>
  <c r="U192" s="1"/>
  <c r="T217"/>
  <c r="U191" s="1"/>
  <c r="Y231"/>
  <c r="X217"/>
  <c r="X218"/>
  <c r="AC231"/>
  <c r="AB217"/>
  <c r="AB218"/>
  <c r="AG231"/>
  <c r="AF217"/>
  <c r="AF218"/>
  <c r="AK231"/>
  <c r="AJ218"/>
  <c r="AJ217"/>
  <c r="G232"/>
  <c r="H232"/>
  <c r="F219"/>
  <c r="G193" s="1"/>
  <c r="K232"/>
  <c r="J219"/>
  <c r="O232"/>
  <c r="N219"/>
  <c r="S232"/>
  <c r="R219"/>
  <c r="R193" s="1"/>
  <c r="AA232"/>
  <c r="Z219"/>
  <c r="AE232"/>
  <c r="AD219"/>
  <c r="AI232"/>
  <c r="AH219"/>
  <c r="H234"/>
  <c r="F220"/>
  <c r="G234"/>
  <c r="F221"/>
  <c r="G195" s="1"/>
  <c r="J220"/>
  <c r="K194" s="1"/>
  <c r="K234"/>
  <c r="J221"/>
  <c r="N220"/>
  <c r="O194" s="1"/>
  <c r="O234"/>
  <c r="N221"/>
  <c r="O195" s="1"/>
  <c r="R220"/>
  <c r="S194" s="1"/>
  <c r="R221"/>
  <c r="S234"/>
  <c r="V220"/>
  <c r="W234"/>
  <c r="V221"/>
  <c r="Z220"/>
  <c r="AA234"/>
  <c r="Z221"/>
  <c r="AD220"/>
  <c r="AE234"/>
  <c r="AD221"/>
  <c r="AH220"/>
  <c r="AI234"/>
  <c r="AH221"/>
  <c r="AL220"/>
  <c r="AL221"/>
  <c r="H225"/>
  <c r="I199" s="1"/>
  <c r="H223"/>
  <c r="I197" s="1"/>
  <c r="I235"/>
  <c r="I236"/>
  <c r="H222"/>
  <c r="H196" s="1"/>
  <c r="L225"/>
  <c r="L223"/>
  <c r="M197" s="1"/>
  <c r="M235"/>
  <c r="M236"/>
  <c r="L222"/>
  <c r="P225"/>
  <c r="P199" s="1"/>
  <c r="P223"/>
  <c r="Q235"/>
  <c r="Q236"/>
  <c r="T225"/>
  <c r="T223"/>
  <c r="U197" s="1"/>
  <c r="U235"/>
  <c r="U236"/>
  <c r="T222"/>
  <c r="X225"/>
  <c r="X223"/>
  <c r="Y235"/>
  <c r="Y236"/>
  <c r="X222"/>
  <c r="AB225"/>
  <c r="AB223"/>
  <c r="AC235"/>
  <c r="AC236"/>
  <c r="AB222"/>
  <c r="AF225"/>
  <c r="AF223"/>
  <c r="AG235"/>
  <c r="AG236"/>
  <c r="AF222"/>
  <c r="AJ225"/>
  <c r="AJ223"/>
  <c r="AK235"/>
  <c r="AK236"/>
  <c r="AJ222"/>
  <c r="H238"/>
  <c r="G238"/>
  <c r="G241"/>
  <c r="H241"/>
  <c r="G245"/>
  <c r="F224"/>
  <c r="K245"/>
  <c r="J224"/>
  <c r="O245"/>
  <c r="N224"/>
  <c r="S245"/>
  <c r="R224"/>
  <c r="S198" s="1"/>
  <c r="W245"/>
  <c r="V224"/>
  <c r="AA245"/>
  <c r="Z224"/>
  <c r="AE245"/>
  <c r="AD224"/>
  <c r="AI245"/>
  <c r="AH224"/>
  <c r="G237"/>
  <c r="H237"/>
  <c r="I240"/>
  <c r="M240"/>
  <c r="Q240"/>
  <c r="U240"/>
  <c r="K241"/>
  <c r="O241"/>
  <c r="S241"/>
  <c r="I242"/>
  <c r="M242"/>
  <c r="Q242"/>
  <c r="U242"/>
  <c r="I172"/>
  <c r="M172"/>
  <c r="Q172"/>
  <c r="U172"/>
  <c r="Y172"/>
  <c r="AC172"/>
  <c r="AG172"/>
  <c r="AK172"/>
  <c r="H55"/>
  <c r="L55"/>
  <c r="P55"/>
  <c r="T55"/>
  <c r="X55"/>
  <c r="AB55"/>
  <c r="AF55"/>
  <c r="AJ55"/>
  <c r="I246"/>
  <c r="M246"/>
  <c r="Q246"/>
  <c r="U246"/>
  <c r="G248"/>
  <c r="K248"/>
  <c r="K237"/>
  <c r="H173"/>
  <c r="K173"/>
  <c r="O173"/>
  <c r="S173"/>
  <c r="W173"/>
  <c r="AA173"/>
  <c r="AE173"/>
  <c r="AI173"/>
  <c r="J110"/>
  <c r="N110"/>
  <c r="R110"/>
  <c r="V110"/>
  <c r="Z110"/>
  <c r="AD110"/>
  <c r="AH110"/>
  <c r="AL110"/>
  <c r="L116"/>
  <c r="P116"/>
  <c r="T116"/>
  <c r="X116"/>
  <c r="AB116"/>
  <c r="AF116"/>
  <c r="AJ116"/>
  <c r="J117"/>
  <c r="N117"/>
  <c r="R117"/>
  <c r="V117"/>
  <c r="Z117"/>
  <c r="AD117"/>
  <c r="AH117"/>
  <c r="AL117"/>
  <c r="J119"/>
  <c r="Z119"/>
  <c r="J125"/>
  <c r="N125"/>
  <c r="R125"/>
  <c r="V125"/>
  <c r="Z125"/>
  <c r="AD125"/>
  <c r="AH125"/>
  <c r="L126"/>
  <c r="P126"/>
  <c r="T126"/>
  <c r="X126"/>
  <c r="AB126"/>
  <c r="AF126"/>
  <c r="AJ126"/>
  <c r="L128"/>
  <c r="P128"/>
  <c r="T128"/>
  <c r="X128"/>
  <c r="AB128"/>
  <c r="AF128"/>
  <c r="AJ128"/>
  <c r="L132"/>
  <c r="P132"/>
  <c r="T132"/>
  <c r="X132"/>
  <c r="AB132"/>
  <c r="AF132"/>
  <c r="AJ132"/>
  <c r="J135"/>
  <c r="N135"/>
  <c r="R135"/>
  <c r="V135"/>
  <c r="Z135"/>
  <c r="AD135"/>
  <c r="AH135"/>
  <c r="L136"/>
  <c r="P136"/>
  <c r="T136"/>
  <c r="X136"/>
  <c r="AB136"/>
  <c r="AF136"/>
  <c r="AJ136"/>
  <c r="J141"/>
  <c r="N141"/>
  <c r="R141"/>
  <c r="V141"/>
  <c r="Z141"/>
  <c r="AD141"/>
  <c r="AH141"/>
  <c r="L144"/>
  <c r="P144"/>
  <c r="T144"/>
  <c r="X144"/>
  <c r="AB144"/>
  <c r="AF144"/>
  <c r="AJ144"/>
  <c r="L146"/>
  <c r="P146"/>
  <c r="T146"/>
  <c r="X146"/>
  <c r="AB146"/>
  <c r="AF146"/>
  <c r="AJ146"/>
  <c r="L148"/>
  <c r="P148"/>
  <c r="T148"/>
  <c r="X148"/>
  <c r="AB148"/>
  <c r="AF148"/>
  <c r="AJ148"/>
  <c r="L150"/>
  <c r="P150"/>
  <c r="T150"/>
  <c r="X150"/>
  <c r="AB150"/>
  <c r="AF150"/>
  <c r="AJ150"/>
  <c r="L152"/>
  <c r="P152"/>
  <c r="T152"/>
  <c r="X152"/>
  <c r="AB152"/>
  <c r="AF152"/>
  <c r="AJ152"/>
  <c r="P162"/>
  <c r="X162"/>
  <c r="AF162"/>
  <c r="P166"/>
  <c r="AF166"/>
  <c r="N169"/>
  <c r="AD169"/>
  <c r="L170"/>
  <c r="AB170"/>
  <c r="J172"/>
  <c r="Z172"/>
  <c r="M180"/>
  <c r="AC180"/>
  <c r="O181"/>
  <c r="AE181"/>
  <c r="Q182"/>
  <c r="AG182"/>
  <c r="S183"/>
  <c r="AI183"/>
  <c r="AC188"/>
  <c r="Q189"/>
  <c r="AA190"/>
  <c r="AJ191"/>
  <c r="AG192"/>
  <c r="AE194"/>
  <c r="AC196"/>
  <c r="AA198"/>
  <c r="L214"/>
  <c r="M188" s="1"/>
  <c r="Q216"/>
  <c r="Q190" s="1"/>
  <c r="R198" l="1"/>
  <c r="T197"/>
  <c r="G197"/>
  <c r="N195"/>
  <c r="F194"/>
  <c r="N190"/>
  <c r="L189"/>
  <c r="G198"/>
  <c r="S195"/>
  <c r="O193"/>
  <c r="N191"/>
  <c r="J193"/>
  <c r="M198"/>
  <c r="G188"/>
  <c r="J198"/>
  <c r="M199"/>
  <c r="Q191"/>
  <c r="L194"/>
  <c r="H195"/>
  <c r="J191"/>
  <c r="H189"/>
  <c r="I198"/>
  <c r="S199"/>
  <c r="O197"/>
  <c r="S191"/>
  <c r="G191"/>
  <c r="M190"/>
  <c r="H190"/>
  <c r="R195"/>
  <c r="H199"/>
  <c r="Q198"/>
  <c r="F188"/>
  <c r="O188"/>
  <c r="K198"/>
  <c r="T196"/>
  <c r="T199"/>
  <c r="S193"/>
  <c r="K193"/>
  <c r="M191"/>
  <c r="I188"/>
  <c r="P198"/>
  <c r="H198"/>
  <c r="U199"/>
  <c r="P193"/>
  <c r="R191"/>
  <c r="F191"/>
  <c r="Q195"/>
  <c r="M193"/>
  <c r="I196"/>
  <c r="N198"/>
  <c r="J195"/>
  <c r="T191"/>
  <c r="J190"/>
  <c r="N189"/>
  <c r="K199"/>
  <c r="L195"/>
  <c r="L196"/>
  <c r="R190"/>
  <c r="M195"/>
  <c r="J189"/>
  <c r="Q197"/>
  <c r="K195"/>
  <c r="H191"/>
  <c r="O190"/>
  <c r="M189"/>
  <c r="N197"/>
  <c r="F197"/>
  <c r="J192"/>
  <c r="F192"/>
  <c r="I191"/>
  <c r="P197"/>
  <c r="M194"/>
  <c r="F195"/>
  <c r="O191"/>
  <c r="K192"/>
  <c r="F190"/>
  <c r="P189"/>
  <c r="U198"/>
  <c r="Y206"/>
  <c r="Y202"/>
  <c r="Y203"/>
  <c r="Y204"/>
  <c r="Y205"/>
  <c r="Y201"/>
  <c r="I206"/>
  <c r="I202"/>
  <c r="I203"/>
  <c r="I204"/>
  <c r="I205"/>
  <c r="I201"/>
  <c r="AF211"/>
  <c r="AF207"/>
  <c r="AF212"/>
  <c r="AF208"/>
  <c r="AF209"/>
  <c r="AF210"/>
  <c r="P211"/>
  <c r="P207"/>
  <c r="P212"/>
  <c r="P208"/>
  <c r="P209"/>
  <c r="P210"/>
  <c r="AD209"/>
  <c r="AD210"/>
  <c r="AD211"/>
  <c r="AD207"/>
  <c r="AD208"/>
  <c r="AD212"/>
  <c r="N209"/>
  <c r="N210"/>
  <c r="N211"/>
  <c r="N207"/>
  <c r="N208"/>
  <c r="N212"/>
  <c r="AA212"/>
  <c r="AA208"/>
  <c r="AA209"/>
  <c r="AA210"/>
  <c r="AA207"/>
  <c r="AA211"/>
  <c r="K212"/>
  <c r="K208"/>
  <c r="K209"/>
  <c r="K210"/>
  <c r="K207"/>
  <c r="K211"/>
  <c r="U206"/>
  <c r="U202"/>
  <c r="U203"/>
  <c r="U204"/>
  <c r="U201"/>
  <c r="U205"/>
  <c r="AG210"/>
  <c r="AG211"/>
  <c r="AG207"/>
  <c r="AG212"/>
  <c r="AG208"/>
  <c r="AG209"/>
  <c r="Q210"/>
  <c r="Q211"/>
  <c r="Q207"/>
  <c r="Q212"/>
  <c r="Q208"/>
  <c r="Q209"/>
  <c r="AE204"/>
  <c r="AE205"/>
  <c r="AE201"/>
  <c r="AE206"/>
  <c r="AE202"/>
  <c r="AE203"/>
  <c r="AA204"/>
  <c r="AA205"/>
  <c r="AA201"/>
  <c r="AA206"/>
  <c r="AA202"/>
  <c r="AA203"/>
  <c r="S204"/>
  <c r="S205"/>
  <c r="S201"/>
  <c r="S206"/>
  <c r="S202"/>
  <c r="S203"/>
  <c r="AJ211"/>
  <c r="AJ207"/>
  <c r="AJ212"/>
  <c r="AJ208"/>
  <c r="AJ209"/>
  <c r="AJ210"/>
  <c r="T211"/>
  <c r="T207"/>
  <c r="T212"/>
  <c r="T208"/>
  <c r="T209"/>
  <c r="T210"/>
  <c r="AL205"/>
  <c r="AL201"/>
  <c r="AL206"/>
  <c r="AL202"/>
  <c r="AL203"/>
  <c r="AL204"/>
  <c r="AH205"/>
  <c r="AH201"/>
  <c r="AH206"/>
  <c r="AH202"/>
  <c r="AH203"/>
  <c r="AH204"/>
  <c r="AD205"/>
  <c r="AD201"/>
  <c r="AD206"/>
  <c r="AD202"/>
  <c r="AD203"/>
  <c r="AD204"/>
  <c r="P191"/>
  <c r="L199"/>
  <c r="L192"/>
  <c r="H192"/>
  <c r="U189"/>
  <c r="U196"/>
  <c r="Q196"/>
  <c r="Q199"/>
  <c r="O189"/>
  <c r="K189"/>
  <c r="L197"/>
  <c r="M196"/>
  <c r="R194"/>
  <c r="L203"/>
  <c r="L204"/>
  <c r="L205"/>
  <c r="L201"/>
  <c r="L206"/>
  <c r="L202"/>
  <c r="J209"/>
  <c r="J210"/>
  <c r="J211"/>
  <c r="J207"/>
  <c r="J208"/>
  <c r="J212"/>
  <c r="AL209"/>
  <c r="AL210"/>
  <c r="AL211"/>
  <c r="AL207"/>
  <c r="AL212"/>
  <c r="AL208"/>
  <c r="V209"/>
  <c r="V210"/>
  <c r="V211"/>
  <c r="V207"/>
  <c r="V212"/>
  <c r="V208"/>
  <c r="F209"/>
  <c r="F210"/>
  <c r="F211"/>
  <c r="F207"/>
  <c r="F212"/>
  <c r="F208"/>
  <c r="X203"/>
  <c r="X204"/>
  <c r="X205"/>
  <c r="X201"/>
  <c r="X206"/>
  <c r="X202"/>
  <c r="AI212"/>
  <c r="AI208"/>
  <c r="AI209"/>
  <c r="AI210"/>
  <c r="AI211"/>
  <c r="AI207"/>
  <c r="S212"/>
  <c r="S208"/>
  <c r="S209"/>
  <c r="S210"/>
  <c r="S211"/>
  <c r="S207"/>
  <c r="M206"/>
  <c r="M202"/>
  <c r="M203"/>
  <c r="M204"/>
  <c r="M205"/>
  <c r="M201"/>
  <c r="Y210"/>
  <c r="Y211"/>
  <c r="Y207"/>
  <c r="Y212"/>
  <c r="Y208"/>
  <c r="Y209"/>
  <c r="I210"/>
  <c r="I211"/>
  <c r="I207"/>
  <c r="I212"/>
  <c r="I208"/>
  <c r="I209"/>
  <c r="G204"/>
  <c r="G205"/>
  <c r="G201"/>
  <c r="G206"/>
  <c r="G202"/>
  <c r="G203"/>
  <c r="AB211"/>
  <c r="AB207"/>
  <c r="AB212"/>
  <c r="AB208"/>
  <c r="AB209"/>
  <c r="AB210"/>
  <c r="L211"/>
  <c r="L207"/>
  <c r="L212"/>
  <c r="L208"/>
  <c r="L209"/>
  <c r="L210"/>
  <c r="O198"/>
  <c r="L191"/>
  <c r="H197"/>
  <c r="I190"/>
  <c r="S190"/>
  <c r="G194"/>
  <c r="Z209"/>
  <c r="Z210"/>
  <c r="Z211"/>
  <c r="Z207"/>
  <c r="Z208"/>
  <c r="Z212"/>
  <c r="AF203"/>
  <c r="AF204"/>
  <c r="AF205"/>
  <c r="AF201"/>
  <c r="AF202"/>
  <c r="AF206"/>
  <c r="T203"/>
  <c r="T204"/>
  <c r="T205"/>
  <c r="T201"/>
  <c r="T202"/>
  <c r="T206"/>
  <c r="H203"/>
  <c r="H204"/>
  <c r="H205"/>
  <c r="H201"/>
  <c r="H206"/>
  <c r="H202"/>
  <c r="W212"/>
  <c r="W208"/>
  <c r="W209"/>
  <c r="W210"/>
  <c r="W211"/>
  <c r="W207"/>
  <c r="G212"/>
  <c r="G208"/>
  <c r="G209"/>
  <c r="G210"/>
  <c r="G211"/>
  <c r="G207"/>
  <c r="AC210"/>
  <c r="AC211"/>
  <c r="AC207"/>
  <c r="AC212"/>
  <c r="AC208"/>
  <c r="AC209"/>
  <c r="M210"/>
  <c r="M211"/>
  <c r="M207"/>
  <c r="M212"/>
  <c r="M208"/>
  <c r="M209"/>
  <c r="O204"/>
  <c r="O205"/>
  <c r="O201"/>
  <c r="O206"/>
  <c r="O202"/>
  <c r="O203"/>
  <c r="K204"/>
  <c r="K205"/>
  <c r="K201"/>
  <c r="K206"/>
  <c r="K202"/>
  <c r="K203"/>
  <c r="Z205"/>
  <c r="Z201"/>
  <c r="Z206"/>
  <c r="Z202"/>
  <c r="Z203"/>
  <c r="Z204"/>
  <c r="V205"/>
  <c r="V201"/>
  <c r="V206"/>
  <c r="V202"/>
  <c r="V203"/>
  <c r="V204"/>
  <c r="AH209"/>
  <c r="AH210"/>
  <c r="AH211"/>
  <c r="AH207"/>
  <c r="AH212"/>
  <c r="AH208"/>
  <c r="R209"/>
  <c r="R210"/>
  <c r="R211"/>
  <c r="R207"/>
  <c r="R212"/>
  <c r="R208"/>
  <c r="AJ203"/>
  <c r="AJ204"/>
  <c r="AJ205"/>
  <c r="AJ201"/>
  <c r="AJ202"/>
  <c r="AJ206"/>
  <c r="P203"/>
  <c r="P204"/>
  <c r="P205"/>
  <c r="P201"/>
  <c r="P202"/>
  <c r="P206"/>
  <c r="AE212"/>
  <c r="AE208"/>
  <c r="AE209"/>
  <c r="AE210"/>
  <c r="AE207"/>
  <c r="AE211"/>
  <c r="O212"/>
  <c r="O208"/>
  <c r="O209"/>
  <c r="O210"/>
  <c r="O207"/>
  <c r="O211"/>
  <c r="AK206"/>
  <c r="AK202"/>
  <c r="AK203"/>
  <c r="AK204"/>
  <c r="AK201"/>
  <c r="AK205"/>
  <c r="AG206"/>
  <c r="AG202"/>
  <c r="AG203"/>
  <c r="AG204"/>
  <c r="AG201"/>
  <c r="AG205"/>
  <c r="AC206"/>
  <c r="AC202"/>
  <c r="AC203"/>
  <c r="AC204"/>
  <c r="AC205"/>
  <c r="AC201"/>
  <c r="Q206"/>
  <c r="Q202"/>
  <c r="Q203"/>
  <c r="Q204"/>
  <c r="Q201"/>
  <c r="Q205"/>
  <c r="AK210"/>
  <c r="AK211"/>
  <c r="AK207"/>
  <c r="AK212"/>
  <c r="AK208"/>
  <c r="AK209"/>
  <c r="U210"/>
  <c r="U211"/>
  <c r="U207"/>
  <c r="U212"/>
  <c r="U208"/>
  <c r="U209"/>
  <c r="AI204"/>
  <c r="AI205"/>
  <c r="AI201"/>
  <c r="AI206"/>
  <c r="AI202"/>
  <c r="AI203"/>
  <c r="W204"/>
  <c r="W205"/>
  <c r="W201"/>
  <c r="W206"/>
  <c r="W202"/>
  <c r="W203"/>
  <c r="X211"/>
  <c r="X207"/>
  <c r="X212"/>
  <c r="X208"/>
  <c r="X209"/>
  <c r="X210"/>
  <c r="H211"/>
  <c r="H207"/>
  <c r="H212"/>
  <c r="H208"/>
  <c r="H209"/>
  <c r="H210"/>
  <c r="R205"/>
  <c r="R201"/>
  <c r="R206"/>
  <c r="R202"/>
  <c r="R203"/>
  <c r="R204"/>
  <c r="N205"/>
  <c r="N201"/>
  <c r="N206"/>
  <c r="N202"/>
  <c r="N203"/>
  <c r="N204"/>
  <c r="J205"/>
  <c r="J201"/>
  <c r="J206"/>
  <c r="J202"/>
  <c r="J203"/>
  <c r="J204"/>
  <c r="F205"/>
  <c r="F201"/>
  <c r="F206"/>
  <c r="F202"/>
  <c r="F203"/>
  <c r="F204"/>
  <c r="L188"/>
  <c r="U188"/>
  <c r="J188"/>
  <c r="P194"/>
  <c r="L190"/>
  <c r="H194"/>
  <c r="Q194"/>
  <c r="S188"/>
  <c r="R188"/>
  <c r="N188"/>
  <c r="N194"/>
  <c r="J194"/>
</calcChain>
</file>

<file path=xl/sharedStrings.xml><?xml version="1.0" encoding="utf-8"?>
<sst xmlns="http://schemas.openxmlformats.org/spreadsheetml/2006/main" count="1062" uniqueCount="343">
  <si>
    <t>-</t>
  </si>
  <si>
    <t>majątkowe objęte limitem art. 226 ust. 4 uofp</t>
  </si>
  <si>
    <t>bieżące objęte limitem art. 226 ust. 4 uofp</t>
  </si>
  <si>
    <t>związane z funkcjonowaniem organów JST</t>
  </si>
  <si>
    <t>na wynagrodzenia i składki od nich naliczane</t>
  </si>
  <si>
    <t>Informacje uzupełniające z art. 226 ust. 1 i 2 uofp, tj. wydatki:</t>
  </si>
  <si>
    <t>na programy, projekty lub zadania finansowane z udziałem środków, o których mowa w art. 5 ust. 1 pkt 2 i 3 uofp</t>
  </si>
  <si>
    <t>Wydatki majątkowe, w tym:</t>
  </si>
  <si>
    <t xml:space="preserve">odsetki i dyskonto </t>
  </si>
  <si>
    <t>wydatki bieżące na obsługę długu, w tym:</t>
  </si>
  <si>
    <t>gwarancje i poręczenia podlegające wyłączeniu z limitów spłaty zobowiązań  określonych w art. 243 ust. 3 pkt 2 uofp, lub art. 169 ust. 3 pkt 2 suofp</t>
  </si>
  <si>
    <t>z tytułu poręczeń i gwarancji, w tym:</t>
  </si>
  <si>
    <t>wydatki bieżące bez wydatków na obsługę długu</t>
  </si>
  <si>
    <t>Wydatki bieżące, w tym:</t>
  </si>
  <si>
    <t>Wydatki ogółem</t>
  </si>
  <si>
    <t>ze sprzedaży majątku</t>
  </si>
  <si>
    <t>Dochody majątkowe, w tym:</t>
  </si>
  <si>
    <t>Dochody bieżące, w tym:</t>
  </si>
  <si>
    <t>Dochody ogółem</t>
  </si>
  <si>
    <t>[N-1]wyk / [N-2]</t>
  </si>
  <si>
    <t>[N-1]pl3kw : [N-2]</t>
  </si>
  <si>
    <t xml:space="preserve">DYNAMIKA kwot ujętych w WPF </t>
  </si>
  <si>
    <t>pozostałe wydatki bieżące (wydatki bieżące bez wynagrodzeń i pochodnych oraz wydatków związanych z funkcjonowaniem organów jst, wydatków na obsługę długu  oraz poręczeń i gwarancji)</t>
  </si>
  <si>
    <t>wydatki bieżące na wynagrodzenia i składki od nich naliczane</t>
  </si>
  <si>
    <t>wydatki bieżące ogółem bez wydatków na projekty współfinansowane środkami UE</t>
  </si>
  <si>
    <t>wydatki bieżące ogółem</t>
  </si>
  <si>
    <t>wydatki ogółem bez wydatków na projekty finansowane i współfinansowane środkami UE</t>
  </si>
  <si>
    <t>dochody ze sprzedaży majątku</t>
  </si>
  <si>
    <t>dochody majątkowe bez środków UE (fin. i współfin.) 
i bez sprzedaży majątku</t>
  </si>
  <si>
    <t>dochody majątkowe bez środków UE (fin. i współfin.)</t>
  </si>
  <si>
    <t>dochody bieżące bez środków UE (fin. i współfin.)</t>
  </si>
  <si>
    <t>dochody ogółem bez środków UE (fin. i współfin.)</t>
  </si>
  <si>
    <t>PODSTAWOWE wielkości ujęte w prognozie</t>
  </si>
  <si>
    <t>[N-1]wyk 
- [N-1]pl3kw</t>
  </si>
  <si>
    <t>[N-1]pl3kw 
- [N-2]</t>
  </si>
  <si>
    <t>WIELKOŚĆ ZMIAN w podstawowych kwotach prognozy</t>
  </si>
  <si>
    <t>[N-1]wyk 
/ [N-1]pl3kw</t>
  </si>
  <si>
    <t>[N-1]pl3kw / [N-2]</t>
  </si>
  <si>
    <t>DYNAMIKA podstawowych wielkości z prognozy</t>
  </si>
  <si>
    <t>x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</si>
  <si>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</si>
  <si>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</si>
  <si>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</si>
  <si>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</si>
  <si>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t>Analiza składowych wzoru wskaźnika z art. 243</t>
  </si>
  <si>
    <t>Analiza ryzyka niespełnienia wskaźnika z art. 243</t>
  </si>
  <si>
    <t>Wyliczenie zobowiązań wynikających z przejęcia przez jst zobowiązań po likwidowanych i przekształcanych SZOZ</t>
  </si>
  <si>
    <t>Wyliczenie kwoty długu</t>
  </si>
  <si>
    <t>Wynik budżetu = dochody ogółem - wydatki ogółem</t>
  </si>
  <si>
    <t>Wydatki ogółem = bieżące + majątkowe</t>
  </si>
  <si>
    <t>Dochody ogółem = bieżące + majątkowe</t>
  </si>
  <si>
    <t>Kontrola poprawności podstawowych kwot</t>
  </si>
  <si>
    <t xml:space="preserve">Reguła logiczna:  jeżeli [2.1.3] &lt;&gt; 0 to  [2.1.3.1] &lt;&gt; 0 </t>
  </si>
  <si>
    <t xml:space="preserve">jeżeli [2.1.3] &lt;&gt; 0 to  [2.1.3.1] &lt;&gt; 0 </t>
  </si>
  <si>
    <t>Reguła logiczna:  7&gt;=13.1</t>
  </si>
  <si>
    <t>7&gt;=13.1</t>
  </si>
  <si>
    <t>Reguła logiczna:  [6.1] &gt;= [6.1.1]</t>
  </si>
  <si>
    <t>[6.1] &gt;= [6.1.1]</t>
  </si>
  <si>
    <t>Reguła logiczna:  [6] &gt;= [14.2]</t>
  </si>
  <si>
    <t>[6] &gt;= [14.2]</t>
  </si>
  <si>
    <t>Reguła logiczna:  [6] &gt;=[7]</t>
  </si>
  <si>
    <t>[6] &gt;=[7]</t>
  </si>
  <si>
    <t>Reguła logiczna:  [6] &gt;= [6.1]</t>
  </si>
  <si>
    <t>[6] &gt;= [6.1]</t>
  </si>
  <si>
    <t>Reguła logiczna:  [5.1] &gt;= [14.1]</t>
  </si>
  <si>
    <t>[5.1] &gt;= [14.1]</t>
  </si>
  <si>
    <t>Reguła logiczna:  [5.1] &gt;= [10.1]</t>
  </si>
  <si>
    <t>[5.1] &gt;= [10.1]</t>
  </si>
  <si>
    <t>Reguła logiczna:  [5.1.1] &gt;= [5.1.1.1]</t>
  </si>
  <si>
    <t>[5.1.1] &gt;= [5.1.1.1]</t>
  </si>
  <si>
    <t>Reguła logiczna:  [5.1] &gt;= [5.1.1]</t>
  </si>
  <si>
    <t>[5.1] &gt;= [5.1.1]</t>
  </si>
  <si>
    <t>Reguła logiczna:  [4.4] &gt;= [4.4.1]</t>
  </si>
  <si>
    <t>[4.4] &gt;= [4.4.1]</t>
  </si>
  <si>
    <t>Reguła logiczna:  [4.3] &gt;= [4.3.1]</t>
  </si>
  <si>
    <t>[4.3] &gt;= [4.3.1]</t>
  </si>
  <si>
    <t>Reguła logiczna:  [4.2] &gt;= [4.2.1]</t>
  </si>
  <si>
    <t>[4.2] &gt;= [4.2.1]</t>
  </si>
  <si>
    <t>Reguła logiczna:  [4.1] &gt;= [4.1.1]</t>
  </si>
  <si>
    <t>[4.1] &gt;= [4.1.1]</t>
  </si>
  <si>
    <t>Reguła logiczna:  [2.2] &gt;= [12.4]</t>
  </si>
  <si>
    <t>[2.2] &gt;= [12.4]</t>
  </si>
  <si>
    <t>Reguła logiczna:  [2.2] &gt;= [11.6]</t>
  </si>
  <si>
    <t>[2.2] &gt;= [11.6]</t>
  </si>
  <si>
    <t>Reguła logiczna:  [2.2] &gt;= [11.4] + [11.5]</t>
  </si>
  <si>
    <t>[2.2] &gt;= [11.4] + [11.5]</t>
  </si>
  <si>
    <t>Reguła logiczna:  [2.2] &gt;= [11.3.2]</t>
  </si>
  <si>
    <t>[2.2] &gt;= [11.3.2]</t>
  </si>
  <si>
    <t>Reguła logiczna:  [2.1] &gt;= [13.7]</t>
  </si>
  <si>
    <t>[2.1] &gt;= [13.7]</t>
  </si>
  <si>
    <t>Reguła logiczna:  [2.1] &gt;= [12.3]</t>
  </si>
  <si>
    <t>[2.1] &gt;= [12.3]</t>
  </si>
  <si>
    <t>Reguła logiczna:  [2.1] &gt;= [11.3.1]</t>
  </si>
  <si>
    <t>[2.1] &gt;= [11.3.1]</t>
  </si>
  <si>
    <t>Reguła logiczna:  [2.1] &gt;= [11.1]</t>
  </si>
  <si>
    <t>[2.1] &gt;= [11.1]</t>
  </si>
  <si>
    <t>Reguła logiczna:  [2.1] &gt;= ([2.1.1] + [2.1.2] + [2.1.3])</t>
  </si>
  <si>
    <t>[2.1] &gt;= ([2.1.1] + [2.1.2] + [2.1.3])</t>
  </si>
  <si>
    <t xml:space="preserve">Reguła logiczna:  [2.1.3] &gt;= [2.1.3.1] </t>
  </si>
  <si>
    <t xml:space="preserve">[2.1.3] &gt;= [2.1.3.1] </t>
  </si>
  <si>
    <t>Reguła logiczna:  [2.1.1] &gt;= [14.3.3]</t>
  </si>
  <si>
    <t>[2.1.1] &gt;= [14.3.3]</t>
  </si>
  <si>
    <t>Reguła logiczna:  [2.1.1] &gt;= [2.1.1.1]</t>
  </si>
  <si>
    <t>[2.1.1] &gt;= [2.1.1.1]</t>
  </si>
  <si>
    <t>Reguła logiczna:  [14.3] &gt;= [14.3.1] + [14.3.2] + [14.3.3]</t>
  </si>
  <si>
    <t>[14.3] &gt;= [14.3.1] + [14.3.2] + [14.3.3]</t>
  </si>
  <si>
    <t>Reguła logiczna:  [13.4] &gt;= [2.1.2]</t>
  </si>
  <si>
    <t>[13.4] &gt;= [2.1.2]</t>
  </si>
  <si>
    <t>Reguła logiczna:  [13.1] &gt;= [13.3]</t>
  </si>
  <si>
    <t>[13.1] &gt;= [13.3]</t>
  </si>
  <si>
    <t>Reguła logiczna:  [12.4] &gt;= [12.4.2]</t>
  </si>
  <si>
    <t>[12.4] &gt;= [12.4.2]</t>
  </si>
  <si>
    <t>Reguła logiczna:  [12.4] &gt;= [12.4.1]</t>
  </si>
  <si>
    <t>[12.4] &gt;= [12.4.1]</t>
  </si>
  <si>
    <t>Reguła logiczna:  [12.3] &gt;= [12.3.2]</t>
  </si>
  <si>
    <t>[12.3] &gt;= [12.3.2]</t>
  </si>
  <si>
    <t>Reguła logiczna:  [12.3] &gt;= [12.3.1]</t>
  </si>
  <si>
    <t>[12.3] &gt;= [12.3.1]</t>
  </si>
  <si>
    <t>Reguła logiczna:  [12.2.1] &gt;= [12.2.1.1]</t>
  </si>
  <si>
    <t>[12.2.1] &gt;= [12.2.1.1]</t>
  </si>
  <si>
    <t>Reguła logiczna:  [12.2] &gt;= [12.2.1]</t>
  </si>
  <si>
    <t>[12.2] &gt;= [12.2.1]</t>
  </si>
  <si>
    <t>Reguła logiczna:  [12.1.1] &gt;= [12.1.1.1]</t>
  </si>
  <si>
    <t>[12.1.1] &gt;= [12.1.1.1]</t>
  </si>
  <si>
    <t>Reguła logiczna:  [12.1] &gt;= [12.1.1]</t>
  </si>
  <si>
    <t>[12.1] &gt;= [12.1.1]</t>
  </si>
  <si>
    <t>Reguła logiczna:  [10] &gt;= [10.1]</t>
  </si>
  <si>
    <t>[10] &gt;= [10.1]</t>
  </si>
  <si>
    <t>Reguła logiczna:  [1.2] &gt;= [12.2]</t>
  </si>
  <si>
    <t>[1.2] &gt;= [12.2]</t>
  </si>
  <si>
    <t>Reguła logiczna:  [1.2] &gt;= [1.2.2]</t>
  </si>
  <si>
    <t>[1.2] &gt;= [1.2.2]</t>
  </si>
  <si>
    <t>Reguła logiczna:  [1.2] &gt;= [1.2.1]</t>
  </si>
  <si>
    <t>[1.2] &gt;= [1.2.1]</t>
  </si>
  <si>
    <t>Reguła logiczna:  [1.1] &gt;= [12.1]</t>
  </si>
  <si>
    <t>[1.1] &gt;= [12.1]</t>
  </si>
  <si>
    <t>Reguła logiczna:  [1.1] &gt;=  ([1.1.1] + [1.1.2] + [1.1.3] + [1.1.4] + [1.1.5])</t>
  </si>
  <si>
    <t>[1.1] &gt;=  ([1.1.1] + [1.1.2] + [1.1.3] + [1.1.4] + [1.1.5])</t>
  </si>
  <si>
    <t>Reguła logiczna:  [1.1.5] &gt;= [13.2]</t>
  </si>
  <si>
    <t>[1.1.5] &gt;= [13.2]</t>
  </si>
  <si>
    <t>Reguła logiczna:  [1.1.3] &gt;=  [1.1.3.1]</t>
  </si>
  <si>
    <t>[1.1.3] &gt;=  [1.1.3.1]</t>
  </si>
  <si>
    <t>Kontrola poprawności niewykazania źródeł pokrycia deficytu przy nadwyżce budżetu</t>
  </si>
  <si>
    <t>jeśli [3] &gt;= 0 to sprawdź czy [4.1.1]=0 i [4.2.1]=0 i [4.3.1]=0 i  [4.4.1] = 0</t>
  </si>
  <si>
    <t>Kontrola poprawności wykazania źródeł pokrycia deficytu</t>
  </si>
  <si>
    <t>jeśli [3] &lt; 0 to sprawdź czy [4.1.1] + [4.2.1] + [4.3.1] + [4.4.1] + [3] = 0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</si>
  <si>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</si>
  <si>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</si>
  <si>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</si>
  <si>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 xml:space="preserve">[14.2] "n" =  ( [14.2]  "n-1" -  [14.3] "n" ) </t>
  </si>
  <si>
    <t>Kontrola poprawności wyliczenia kwoty długu</t>
  </si>
  <si>
    <t>[6]"n" = [6]"n-1" + [4.3]"n" - [5.1]"n" +  ([14.2]"n"-[14.2]"n-1") + [14.4]</t>
  </si>
  <si>
    <t>Kontrola poprawności zbilansowania budżetu</t>
  </si>
  <si>
    <t>[1] + [4] - [2] - [5] = 0</t>
  </si>
  <si>
    <t>Umorzenie zobowiązań, o którym mowa w art. 190 ustawy o działalności leczniczej nie wykracza poza ustawowy okres</t>
  </si>
  <si>
    <t>[13.3] = 0 (dla lat 2014 i wyższych)</t>
  </si>
  <si>
    <t>Spełnienie wskaźnika z art. 170 suofp (z wyłączeniami)</t>
  </si>
  <si>
    <t>Spełnienie wskaźnika z art. 170 suofp (bez wyłączeń)</t>
  </si>
  <si>
    <t>Spełnienie wskaźnika z art. 169 suofp (z wyłączeniami)</t>
  </si>
  <si>
    <t>Spełnienie wskaźnika z art. 169 suofp (bez wyłączeń)</t>
  </si>
  <si>
    <t>Spełnienie wskaźnika z art. 242</t>
  </si>
  <si>
    <t>[1.1] + [4.1] + [4.2] &gt;= ([2.1] - [2.1.2])</t>
  </si>
  <si>
    <t>Reguły kontrolne</t>
  </si>
  <si>
    <t>Reguła logiczna</t>
  </si>
  <si>
    <t>Reguła rachunkowa</t>
  </si>
  <si>
    <t>Reguła formalna</t>
  </si>
  <si>
    <t>Weryfikacja danych wykazanych w tabeli Wieloletnia Prognoza Finansowa</t>
  </si>
  <si>
    <t>Do symulacji prognozy i obserwacji zmian wskaźników z art. 243, 169 i 170 na podstawie danych wprowadzanych ręcznie służy arkusz "WPF_AnalizaWsk_Projektowanie"</t>
  </si>
  <si>
    <t>UWAGA!</t>
  </si>
  <si>
    <t>Wynik operacji niekasowych wpływających na kwotę długu (m.in. umorzenia, różnice kursowe)</t>
  </si>
  <si>
    <t>14.4</t>
  </si>
  <si>
    <t>wypłaty z tytułu wymagalnych poręczeń i gwarancji</t>
  </si>
  <si>
    <t>14.3.3</t>
  </si>
  <si>
    <t>związane z umowami zaliczanymi do tytułów dłużnych wliczanych w państwowy dług publiczny</t>
  </si>
  <si>
    <t>14.3.2</t>
  </si>
  <si>
    <t>spłata zobowiązań wymagalnych z lat poprzednich, innych niż w pkt 14.3.3</t>
  </si>
  <si>
    <t>14.3.1</t>
  </si>
  <si>
    <t>Wydatki zmniejszające dług, w tym:</t>
  </si>
  <si>
    <t>14.3</t>
  </si>
  <si>
    <t>Kwota długu, którego planowana spłata dokona się z wydatków budżetu</t>
  </si>
  <si>
    <t>14.2</t>
  </si>
  <si>
    <t>Spłaty rat kapitałowych oraz wykup papierów wartościowych, o których mowa w pkt. 5.1., wynikające wyłącznie z tytułu zobowiązań już zaciągniętych</t>
  </si>
  <si>
    <t>14.1</t>
  </si>
  <si>
    <t>Dane uzupełniające o długu i jego spłacie</t>
  </si>
  <si>
    <t>Wydatki bieżące na pokrycie ujemnego wyniku finansowego samodzielnego publicznego zakładu opieki zdrowotnej</t>
  </si>
  <si>
    <t>13.7</t>
  </si>
  <si>
    <t>Wydatki na spłatę zobowiązań samodzielnego publicznego zakładu opieki zdrowotnej przejętych do końca 2011 r. na podstawie przepisów o zakładach opieki zdrowotnej</t>
  </si>
  <si>
    <t>13.6</t>
  </si>
  <si>
    <t>Wydatki na spłatę przejętych zobowiązań samodzielnego publicznego zakładu opieki zdrowotnej likwidowanego na zasadach określonych w przepisach o działalności leczniczej</t>
  </si>
  <si>
    <t>13.5</t>
  </si>
  <si>
    <t>Wydatki na spłatę przejętych zobowiązań samodzielnego publicznego zakładu opieki zdrowotnej przekształconego na zasadach określonych w przepisach o działalności leczniczej</t>
  </si>
  <si>
    <t>13.4</t>
  </si>
  <si>
    <t>Wysokość zobowiązań podlegających umorzeniu, o którym mowa w art. 190 ustawy o działalności leczniczej</t>
  </si>
  <si>
    <t>13.3</t>
  </si>
  <si>
    <t>Dochody budżetowe z tytułu dotacji celowej z budżetu państwa, o której mowa w art. 196 ustawy z dnia 15 kwietnia 2011 r. o działalności leczniczej (Dz.U. Nr 112, poz. 654, z późn. zm.)</t>
  </si>
  <si>
    <t>13.2</t>
  </si>
  <si>
    <t>Kwota zobowiązań wynikających z przejęcia przez jednostkę samorządu terytorialnego zobowiązań po likwidowanych i przekształcanych samodzielnych zakładach opieki zdrowotnej</t>
  </si>
  <si>
    <t>13.1</t>
  </si>
  <si>
    <t xml:space="preserve">Kwoty dotyczące przejęcia i spłaty zobowiązań po samodzielnych publicznych zakładach opieki zdrowotnej oraz pokrycia ujemnego wyniku </t>
  </si>
  <si>
    <t xml:space="preserve">Wydatki majątkowe na realizację programu, projektu lub zadania wynikające wyłącznie z zawartych umów z podmiotem dysponującym środkami, o których mowa w art. 5 ust. 1 pkt 2 ustawy </t>
  </si>
  <si>
    <t>12.4.2</t>
  </si>
  <si>
    <t>w tym finansowane środkami określonymi w art. 5 ust. 1 pkt 2 ustawy</t>
  </si>
  <si>
    <t>12.4.1</t>
  </si>
  <si>
    <t>Wydatki majątkowe na programy, projekty lub zadania finansowane z udziałem środków, o których mowa w art. 5 ust. 1 pkt 2 i 3 ustawy</t>
  </si>
  <si>
    <t>12.4</t>
  </si>
  <si>
    <t xml:space="preserve">Wydatki bieżące na realizację programu, projektu lub zadania wynikające wyłącznie z zawartych umów z podmiotem dysponującym środkami, o których mowa w art. 5 ust. 1 pkt 2 ustawy </t>
  </si>
  <si>
    <t>12.3.2</t>
  </si>
  <si>
    <t xml:space="preserve">w tym finansowane środkami określonymi w art. 5 ust. 1 pkt 2 ustawy </t>
  </si>
  <si>
    <t>12.3.1</t>
  </si>
  <si>
    <t>Wydatki bieżące na programy, projekty lub zadania finansowane z udziałem środków, o których mowa w art. 5 ust. 1 pkt 2 i 3 ustawy</t>
  </si>
  <si>
    <t>12.3</t>
  </si>
  <si>
    <t>środki określone w art. 5 ust. 1 pkt 2 ustawy wynikające wyłącznie z zawartych umów na realizację programu, projektu lub zadania</t>
  </si>
  <si>
    <t>12.2.1.1</t>
  </si>
  <si>
    <t>środki określone w art. 5 ust. 1 pkt 2 ustawy, w tym:</t>
  </si>
  <si>
    <t>12.2.1</t>
  </si>
  <si>
    <t>Dochody majątkowe na programy, projekty lub zadania finansowane z udziałem środków, o których mowa w art. 5 ust. 1 pkt 2 i 3 ustawy, w tym:</t>
  </si>
  <si>
    <t>12.2</t>
  </si>
  <si>
    <t>12.1.1.1</t>
  </si>
  <si>
    <t>12.1.1</t>
  </si>
  <si>
    <t>Dochody bieżące na programy, projekty lub zadania finansowane z udziałem środków, o których mowa w art. 5 ust. 1 pkt 2 i 3 ustawy, w tym:</t>
  </si>
  <si>
    <t>12.1</t>
  </si>
  <si>
    <t>Finansowanie programów, projektów lub zadań realizowanych z udziałem środków, o których mowa w art. 5 ust. 1 pkt 2 i 3 ustawy</t>
  </si>
  <si>
    <t xml:space="preserve">Wydatki majątkowe w formie dotacji </t>
  </si>
  <si>
    <t>11.6</t>
  </si>
  <si>
    <t>Nowe wydatki inwestycyjne</t>
  </si>
  <si>
    <t>11.5</t>
  </si>
  <si>
    <t xml:space="preserve">Wydatki inwestycyjne kontynuowane </t>
  </si>
  <si>
    <t>11.4</t>
  </si>
  <si>
    <t>majątkowe</t>
  </si>
  <si>
    <t>11.3.2</t>
  </si>
  <si>
    <t>bieżące</t>
  </si>
  <si>
    <t>11.3.1</t>
  </si>
  <si>
    <t>Wydatki objęte limitem art. 226 ust. 3 ustawy, z tego:</t>
  </si>
  <si>
    <t>11.3</t>
  </si>
  <si>
    <t>Wydatki związane z funkcjonowaniem organów jednostki samorządu terytorialnego</t>
  </si>
  <si>
    <t>11.2</t>
  </si>
  <si>
    <t>Wydatki bieżące na wynagrodzenia i składki od nich naliczane</t>
  </si>
  <si>
    <t>11.1</t>
  </si>
  <si>
    <t>Informacje uzupełniające o wybranych rodzajach wydatków budżetowych</t>
  </si>
  <si>
    <t>Spłaty kredytów, pożyczek i wykup papierów wartościowych</t>
  </si>
  <si>
    <t>10.1</t>
  </si>
  <si>
    <t>Przeznaczenie prognozowanej nadwyżki budżetowej, w tym na: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</si>
  <si>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</si>
  <si>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9.8.1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</si>
  <si>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</si>
  <si>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</si>
  <si>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</si>
  <si>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9.7.1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</si>
  <si>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</si>
  <si>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9.7</t>
  </si>
  <si>
    <t>Wskaźnik jednoroczny (prawa strona wzoru z art. 243)</t>
  </si>
  <si>
    <t>9.6.1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</si>
  <si>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</si>
  <si>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</t>
  </si>
  <si>
    <t xml:space="preserve">Kwota zobowiązań związku współtworzonego przez jednostkę samorządu terytorialnego przypadających do spłaty w danym roku budżetowym, podlegająca doliczeniu zgodnie z art. 244 ustawy </t>
  </si>
  <si>
    <t>9.5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</si>
  <si>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</si>
  <si>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9.4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</si>
  <si>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</si>
  <si>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>9.3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</si>
  <si>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</si>
  <si>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>9.2</t>
  </si>
  <si>
    <t xml:space="preserve">Wskaźnik planowanej łącznej kwoty spłaty zobowiązań, o której mowa w art. 169 ust. 1 ufp z 2005 r. do dochodów ogółem, bez uwzględnienia wyłączeń określonych w pkt 5.1.1. </t>
  </si>
  <si>
    <t>9.1</t>
  </si>
  <si>
    <t>Wskaźnik spłaty zobowiązań</t>
  </si>
  <si>
    <t>Różnica między dochodami bieżącymi, powiększonymi o nadwyżkę budżetową określoną w pkt 4.1. i wolne środki określone w pkt 4.2. a wydatkami bieżącymi, pomniejszonym o wydatki określone w pkt 2.1.2.</t>
  </si>
  <si>
    <t>8.2</t>
  </si>
  <si>
    <t>Różnica między dochodami bieżącymi a wydatkami bieżącymi</t>
  </si>
  <si>
    <t>8.1</t>
  </si>
  <si>
    <t>Relacja zrównoważenia wydatków bieżących, o której mowa w art. 242 ustawy</t>
  </si>
  <si>
    <t>Kwota zobowiązań wynikających z przejęcia przez jednostkę samorządu terytorialnego zobowiązań po likwidowanych i przekształcanych jednostkach zaliczanych do sektora finansów publicznych</t>
  </si>
  <si>
    <t xml:space="preserve">Wskaźnik zadłużenia do dochodów ogółem, o którym mowa w art. 170 ufp z 2005 r., po uwzględnieniu wyłączeń określonych w pkt 6.1. </t>
  </si>
  <si>
    <t>6.3</t>
  </si>
  <si>
    <t>Wskaźnik zadłużenia do dochodów ogółem określony w art. 170 ufp z 2005 r., bez uwzględniania wyłączeń określonych w pkt 6.1.</t>
  </si>
  <si>
    <t>6.2</t>
  </si>
  <si>
    <t xml:space="preserve">kwota wyłączeń z ograniczeń długu określonych w art. 170 ust. 3 ufp z 2005 r. </t>
  </si>
  <si>
    <t>6.1.1</t>
  </si>
  <si>
    <t xml:space="preserve">Łączna kwota wyłączeń z ograniczeń długu określonych w art. 170 ust. 3 ufp z 2005 r. oraz w art. 36 ustawy o zmianie niektórych ustaw związanych z realizacją ustawy budżetowej, w tym: </t>
  </si>
  <si>
    <t>6.1</t>
  </si>
  <si>
    <t>Kwota długu</t>
  </si>
  <si>
    <t>Inne rozchody niezwiązane ze spłatą długu</t>
  </si>
  <si>
    <t>5.2</t>
  </si>
  <si>
    <t>kwota przypadających na dany rok kwot wyłączeń określonych w art. 243 ust. 3 pkt 1 ustawy lub art. 169 ust. 3 pkt 1 ufp z 2005 r.</t>
  </si>
  <si>
    <t>5.1.1.1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</si>
  <si>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</si>
  <si>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>5.1.1</t>
  </si>
  <si>
    <t>Spłaty rat kapitałowych kredytów i pożyczek oraz wykup papierów wartościowych, w tym:</t>
  </si>
  <si>
    <t>5.1</t>
  </si>
  <si>
    <t>Rozchody budżetu</t>
  </si>
  <si>
    <t>na pokrycie deficytu budżetu</t>
  </si>
  <si>
    <t>4.4.1</t>
  </si>
  <si>
    <t>Inne przychody niezwiązane z zaciągnięciem długu, w tym:</t>
  </si>
  <si>
    <t>4.4</t>
  </si>
  <si>
    <t>4.3.1</t>
  </si>
  <si>
    <t>Kredyty, pożyczki, emisja papierów wartościowych, w tym:</t>
  </si>
  <si>
    <t>4.3</t>
  </si>
  <si>
    <t>4.2.1</t>
  </si>
  <si>
    <t>Wolne środki, o których mowa w art. 217 ust.2 pkt 6 ustawy, w tym:</t>
  </si>
  <si>
    <t>4.2</t>
  </si>
  <si>
    <t>4.1.1</t>
  </si>
  <si>
    <t>Nadwyżka budżetowa z lat ubiegłych, w tym:</t>
  </si>
  <si>
    <t>4.1</t>
  </si>
  <si>
    <t>Przychody budżetu</t>
  </si>
  <si>
    <t>Wynik budżetu</t>
  </si>
  <si>
    <t>Wydatki majątkowe</t>
  </si>
  <si>
    <t>2.2</t>
  </si>
  <si>
    <t>odsetki i dyskonto określone w art. 243 ust. 1 ustawy lub art. 169 ust. 1 ufp z 2005 r..</t>
  </si>
  <si>
    <t>2.1.3.1</t>
  </si>
  <si>
    <t>wydatki na obsługę długu, w tym:</t>
  </si>
  <si>
    <t>2.1.3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</si>
  <si>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</si>
  <si>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2.1.2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</si>
  <si>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</si>
  <si>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2.1.1.1</t>
  </si>
  <si>
    <t>2.1.1</t>
  </si>
  <si>
    <t>2.1</t>
  </si>
  <si>
    <t>z tytułu dotacji oraz środków przeznaczonych na inwestycje</t>
  </si>
  <si>
    <t>1.2.2</t>
  </si>
  <si>
    <t>1.2.1</t>
  </si>
  <si>
    <t>1.2</t>
  </si>
  <si>
    <t>z tytułu dotacji i środków przeznaczonych na cele bieżące</t>
  </si>
  <si>
    <t>1.1.5</t>
  </si>
  <si>
    <t>z subwencji ogólnej</t>
  </si>
  <si>
    <t>1.1.4</t>
  </si>
  <si>
    <t>z podatku od nieruchomości</t>
  </si>
  <si>
    <t>1.1.3.1</t>
  </si>
  <si>
    <t>podatki i opłaty, w tym:</t>
  </si>
  <si>
    <t>1.1.3</t>
  </si>
  <si>
    <t>dochody z tytułu udziału we wpływach z podatku dochodowego od osób prawnych</t>
  </si>
  <si>
    <t>1.1.2</t>
  </si>
  <si>
    <t>dochody z tytułu udziału we wpływach z podatku dochodowego od osób fizycznych</t>
  </si>
  <si>
    <t>1.1.1</t>
  </si>
  <si>
    <t>1.1</t>
  </si>
  <si>
    <t>2012</t>
  </si>
  <si>
    <t>2011</t>
  </si>
  <si>
    <t>2010</t>
  </si>
  <si>
    <t>Wyszczególnienie</t>
  </si>
  <si>
    <t>Lp.</t>
  </si>
  <si>
    <t>X</t>
  </si>
  <si>
    <t xml:space="preserve">Wykonanie </t>
  </si>
  <si>
    <t>Plan 3 kw.</t>
  </si>
  <si>
    <t>Wieloletnia prognoza finansowa Gminy Widuchowa na lata 2013 - 2025</t>
  </si>
  <si>
    <t xml:space="preserve">Załącznik Nr 1
 do Zarządzenia Nr 312/2013 
 Wójta Gminy Widuchowa 
 z dnia 28 marca 2013 r.
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</si>
</sst>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0_ ;[Red]\-#,##0.00\ "/>
    <numFmt numFmtId="166" formatCode="0.00%;[Red]\-0.00%"/>
  </numFmts>
  <fonts count="6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9"/>
      <name val="Times New Roman"/>
      <family val="1"/>
      <charset val="238"/>
    </font>
    <font>
      <b/>
      <sz val="9"/>
      <color rgb="FFFF0000"/>
      <name val="Czcionka tekstu podstawowego"/>
      <charset val="238"/>
    </font>
    <font>
      <b/>
      <sz val="9"/>
      <name val="Czcionka tekstu podstawowego"/>
      <charset val="238"/>
    </font>
    <font>
      <sz val="9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1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62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indexed="17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sz val="11"/>
      <color rgb="FFFA7D00"/>
      <name val="Calibri"/>
      <family val="2"/>
      <charset val="238"/>
      <scheme val="minor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1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2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2" fillId="0" borderId="0"/>
    <xf numFmtId="0" fontId="4" fillId="40" borderId="0" applyNumberFormat="0" applyBorder="0" applyAlignment="0" applyProtection="0"/>
    <xf numFmtId="0" fontId="22" fillId="10" borderId="0" applyNumberFormat="0" applyBorder="0" applyAlignment="0" applyProtection="0"/>
    <xf numFmtId="0" fontId="4" fillId="41" borderId="0" applyNumberFormat="0" applyBorder="0" applyAlignment="0" applyProtection="0"/>
    <xf numFmtId="0" fontId="22" fillId="14" borderId="0" applyNumberFormat="0" applyBorder="0" applyAlignment="0" applyProtection="0"/>
    <xf numFmtId="0" fontId="4" fillId="42" borderId="0" applyNumberFormat="0" applyBorder="0" applyAlignment="0" applyProtection="0"/>
    <xf numFmtId="0" fontId="22" fillId="18" borderId="0" applyNumberFormat="0" applyBorder="0" applyAlignment="0" applyProtection="0"/>
    <xf numFmtId="0" fontId="4" fillId="43" borderId="0" applyNumberFormat="0" applyBorder="0" applyAlignment="0" applyProtection="0"/>
    <xf numFmtId="0" fontId="22" fillId="22" borderId="0" applyNumberFormat="0" applyBorder="0" applyAlignment="0" applyProtection="0"/>
    <xf numFmtId="0" fontId="4" fillId="44" borderId="0" applyNumberFormat="0" applyBorder="0" applyAlignment="0" applyProtection="0"/>
    <xf numFmtId="0" fontId="22" fillId="26" borderId="0" applyNumberFormat="0" applyBorder="0" applyAlignment="0" applyProtection="0"/>
    <xf numFmtId="0" fontId="4" fillId="45" borderId="0" applyNumberFormat="0" applyBorder="0" applyAlignment="0" applyProtection="0"/>
    <xf numFmtId="0" fontId="22" fillId="30" borderId="0" applyNumberFormat="0" applyBorder="0" applyAlignment="0" applyProtection="0"/>
    <xf numFmtId="0" fontId="4" fillId="46" borderId="0" applyNumberFormat="0" applyBorder="0" applyAlignment="0" applyProtection="0"/>
    <xf numFmtId="0" fontId="22" fillId="11" borderId="0" applyNumberFormat="0" applyBorder="0" applyAlignment="0" applyProtection="0"/>
    <xf numFmtId="0" fontId="4" fillId="47" borderId="0" applyNumberFormat="0" applyBorder="0" applyAlignment="0" applyProtection="0"/>
    <xf numFmtId="0" fontId="22" fillId="15" borderId="0" applyNumberFormat="0" applyBorder="0" applyAlignment="0" applyProtection="0"/>
    <xf numFmtId="0" fontId="4" fillId="48" borderId="0" applyNumberFormat="0" applyBorder="0" applyAlignment="0" applyProtection="0"/>
    <xf numFmtId="0" fontId="22" fillId="19" borderId="0" applyNumberFormat="0" applyBorder="0" applyAlignment="0" applyProtection="0"/>
    <xf numFmtId="0" fontId="4" fillId="43" borderId="0" applyNumberFormat="0" applyBorder="0" applyAlignment="0" applyProtection="0"/>
    <xf numFmtId="0" fontId="22" fillId="23" borderId="0" applyNumberFormat="0" applyBorder="0" applyAlignment="0" applyProtection="0"/>
    <xf numFmtId="0" fontId="4" fillId="46" borderId="0" applyNumberFormat="0" applyBorder="0" applyAlignment="0" applyProtection="0"/>
    <xf numFmtId="0" fontId="22" fillId="27" borderId="0" applyNumberFormat="0" applyBorder="0" applyAlignment="0" applyProtection="0"/>
    <xf numFmtId="0" fontId="4" fillId="49" borderId="0" applyNumberFormat="0" applyBorder="0" applyAlignment="0" applyProtection="0"/>
    <xf numFmtId="0" fontId="22" fillId="31" borderId="0" applyNumberFormat="0" applyBorder="0" applyAlignment="0" applyProtection="0"/>
    <xf numFmtId="0" fontId="31" fillId="50" borderId="0" applyNumberFormat="0" applyBorder="0" applyAlignment="0" applyProtection="0"/>
    <xf numFmtId="0" fontId="32" fillId="12" borderId="0" applyNumberFormat="0" applyBorder="0" applyAlignment="0" applyProtection="0"/>
    <xf numFmtId="0" fontId="31" fillId="47" borderId="0" applyNumberFormat="0" applyBorder="0" applyAlignment="0" applyProtection="0"/>
    <xf numFmtId="0" fontId="32" fillId="16" borderId="0" applyNumberFormat="0" applyBorder="0" applyAlignment="0" applyProtection="0"/>
    <xf numFmtId="0" fontId="31" fillId="48" borderId="0" applyNumberFormat="0" applyBorder="0" applyAlignment="0" applyProtection="0"/>
    <xf numFmtId="0" fontId="32" fillId="20" borderId="0" applyNumberFormat="0" applyBorder="0" applyAlignment="0" applyProtection="0"/>
    <xf numFmtId="0" fontId="31" fillId="51" borderId="0" applyNumberFormat="0" applyBorder="0" applyAlignment="0" applyProtection="0"/>
    <xf numFmtId="0" fontId="32" fillId="24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1" fillId="53" borderId="0" applyNumberFormat="0" applyBorder="0" applyAlignment="0" applyProtection="0"/>
    <xf numFmtId="0" fontId="32" fillId="32" borderId="0" applyNumberFormat="0" applyBorder="0" applyAlignment="0" applyProtection="0"/>
    <xf numFmtId="0" fontId="31" fillId="54" borderId="0" applyNumberFormat="0" applyBorder="0" applyAlignment="0" applyProtection="0"/>
    <xf numFmtId="0" fontId="32" fillId="9" borderId="0" applyNumberFormat="0" applyBorder="0" applyAlignment="0" applyProtection="0"/>
    <xf numFmtId="0" fontId="31" fillId="55" borderId="0" applyNumberFormat="0" applyBorder="0" applyAlignment="0" applyProtection="0"/>
    <xf numFmtId="0" fontId="32" fillId="13" borderId="0" applyNumberFormat="0" applyBorder="0" applyAlignment="0" applyProtection="0"/>
    <xf numFmtId="0" fontId="31" fillId="56" borderId="0" applyNumberFormat="0" applyBorder="0" applyAlignment="0" applyProtection="0"/>
    <xf numFmtId="0" fontId="32" fillId="17" borderId="0" applyNumberFormat="0" applyBorder="0" applyAlignment="0" applyProtection="0"/>
    <xf numFmtId="0" fontId="31" fillId="51" borderId="0" applyNumberFormat="0" applyBorder="0" applyAlignment="0" applyProtection="0"/>
    <xf numFmtId="0" fontId="32" fillId="21" borderId="0" applyNumberFormat="0" applyBorder="0" applyAlignment="0" applyProtection="0"/>
    <xf numFmtId="0" fontId="31" fillId="52" borderId="0" applyNumberFormat="0" applyBorder="0" applyAlignment="0" applyProtection="0"/>
    <xf numFmtId="0" fontId="32" fillId="25" borderId="0" applyNumberFormat="0" applyBorder="0" applyAlignment="0" applyProtection="0"/>
    <xf numFmtId="0" fontId="31" fillId="57" borderId="0" applyNumberFormat="0" applyBorder="0" applyAlignment="0" applyProtection="0"/>
    <xf numFmtId="0" fontId="32" fillId="29" borderId="0" applyNumberFormat="0" applyBorder="0" applyAlignment="0" applyProtection="0"/>
    <xf numFmtId="0" fontId="33" fillId="45" borderId="40" applyNumberFormat="0" applyAlignment="0" applyProtection="0"/>
    <xf numFmtId="0" fontId="34" fillId="5" borderId="4" applyNumberFormat="0" applyAlignment="0" applyProtection="0"/>
    <xf numFmtId="0" fontId="35" fillId="58" borderId="41" applyNumberFormat="0" applyAlignment="0" applyProtection="0"/>
    <xf numFmtId="0" fontId="36" fillId="6" borderId="5" applyNumberFormat="0" applyAlignment="0" applyProtection="0"/>
    <xf numFmtId="0" fontId="37" fillId="4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42" applyNumberFormat="0" applyFill="0" applyAlignment="0" applyProtection="0"/>
    <xf numFmtId="0" fontId="40" fillId="0" borderId="6" applyNumberFormat="0" applyFill="0" applyAlignment="0" applyProtection="0"/>
    <xf numFmtId="0" fontId="41" fillId="59" borderId="43" applyNumberFormat="0" applyAlignment="0" applyProtection="0"/>
    <xf numFmtId="0" fontId="42" fillId="7" borderId="7" applyNumberFormat="0" applyAlignment="0" applyProtection="0"/>
    <xf numFmtId="0" fontId="43" fillId="0" borderId="44" applyNumberFormat="0" applyFill="0" applyAlignment="0" applyProtection="0"/>
    <xf numFmtId="0" fontId="44" fillId="0" borderId="1" applyNumberFormat="0" applyFill="0" applyAlignment="0" applyProtection="0"/>
    <xf numFmtId="0" fontId="45" fillId="0" borderId="45" applyNumberFormat="0" applyFill="0" applyAlignment="0" applyProtection="0"/>
    <xf numFmtId="0" fontId="46" fillId="0" borderId="2" applyNumberFormat="0" applyFill="0" applyAlignment="0" applyProtection="0"/>
    <xf numFmtId="0" fontId="47" fillId="0" borderId="46" applyNumberFormat="0" applyFill="0" applyAlignment="0" applyProtection="0"/>
    <xf numFmtId="0" fontId="48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60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1" fillId="0" borderId="0"/>
    <xf numFmtId="0" fontId="51" fillId="0" borderId="0"/>
    <xf numFmtId="0" fontId="52" fillId="0" borderId="0" applyProtection="0"/>
    <xf numFmtId="0" fontId="4" fillId="0" borderId="0"/>
    <xf numFmtId="0" fontId="51" fillId="0" borderId="0"/>
    <xf numFmtId="0" fontId="51" fillId="0" borderId="0"/>
    <xf numFmtId="0" fontId="53" fillId="58" borderId="40" applyNumberFormat="0" applyAlignment="0" applyProtection="0"/>
    <xf numFmtId="0" fontId="54" fillId="6" borderId="4" applyNumberFormat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47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2" fillId="61" borderId="48" applyNumberFormat="0" applyFont="0" applyAlignment="0" applyProtection="0"/>
    <xf numFmtId="0" fontId="22" fillId="8" borderId="8" applyNumberFormat="0" applyFont="0" applyAlignment="0" applyProtection="0"/>
    <xf numFmtId="0" fontId="62" fillId="41" borderId="0" applyNumberFormat="0" applyBorder="0" applyAlignment="0" applyProtection="0"/>
    <xf numFmtId="0" fontId="63" fillId="3" borderId="0" applyNumberFormat="0" applyBorder="0" applyAlignment="0" applyProtection="0"/>
    <xf numFmtId="0" fontId="52" fillId="0" borderId="0"/>
  </cellStyleXfs>
  <cellXfs count="323">
    <xf numFmtId="0" fontId="0" fillId="0" borderId="0" xfId="0"/>
    <xf numFmtId="0" fontId="3" fillId="0" borderId="0" xfId="0" applyFont="1"/>
    <xf numFmtId="164" fontId="5" fillId="0" borderId="10" xfId="1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164" fontId="5" fillId="0" borderId="12" xfId="1" applyNumberFormat="1" applyFont="1" applyFill="1" applyBorder="1" applyAlignment="1">
      <alignment horizontal="right" vertical="center" wrapText="1"/>
    </xf>
    <xf numFmtId="164" fontId="5" fillId="33" borderId="10" xfId="2" applyNumberFormat="1" applyFont="1" applyFill="1" applyBorder="1" applyAlignment="1">
      <alignment horizontal="right" vertical="center" wrapText="1"/>
    </xf>
    <xf numFmtId="164" fontId="5" fillId="33" borderId="11" xfId="2" applyNumberFormat="1" applyFont="1" applyFill="1" applyBorder="1" applyAlignment="1">
      <alignment horizontal="right" vertical="center" wrapText="1"/>
    </xf>
    <xf numFmtId="164" fontId="5" fillId="33" borderId="13" xfId="2" applyNumberFormat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left" vertical="center" wrapText="1" indent="1"/>
    </xf>
    <xf numFmtId="164" fontId="5" fillId="0" borderId="15" xfId="1" applyNumberFormat="1" applyFont="1" applyFill="1" applyBorder="1" applyAlignment="1">
      <alignment horizontal="right" vertical="center" wrapText="1"/>
    </xf>
    <xf numFmtId="164" fontId="5" fillId="0" borderId="16" xfId="1" applyNumberFormat="1" applyFont="1" applyFill="1" applyBorder="1" applyAlignment="1">
      <alignment horizontal="right" vertical="center" wrapText="1"/>
    </xf>
    <xf numFmtId="164" fontId="5" fillId="0" borderId="17" xfId="1" applyNumberFormat="1" applyFont="1" applyFill="1" applyBorder="1" applyAlignment="1">
      <alignment horizontal="right" vertical="center" wrapText="1"/>
    </xf>
    <xf numFmtId="164" fontId="5" fillId="33" borderId="15" xfId="2" applyNumberFormat="1" applyFont="1" applyFill="1" applyBorder="1" applyAlignment="1">
      <alignment horizontal="right" vertical="center" wrapText="1"/>
    </xf>
    <xf numFmtId="164" fontId="5" fillId="33" borderId="16" xfId="2" applyNumberFormat="1" applyFont="1" applyFill="1" applyBorder="1" applyAlignment="1">
      <alignment horizontal="right" vertical="center" wrapText="1"/>
    </xf>
    <xf numFmtId="164" fontId="5" fillId="33" borderId="18" xfId="2" applyNumberFormat="1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left" vertical="center" wrapText="1" indent="1"/>
    </xf>
    <xf numFmtId="164" fontId="5" fillId="0" borderId="20" xfId="1" applyNumberFormat="1" applyFont="1" applyFill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right" vertical="center" wrapText="1"/>
    </xf>
    <xf numFmtId="164" fontId="5" fillId="0" borderId="22" xfId="1" applyNumberFormat="1" applyFont="1" applyFill="1" applyBorder="1" applyAlignment="1">
      <alignment horizontal="right" vertical="center" wrapText="1"/>
    </xf>
    <xf numFmtId="164" fontId="5" fillId="33" borderId="20" xfId="2" applyNumberFormat="1" applyFont="1" applyFill="1" applyBorder="1" applyAlignment="1">
      <alignment horizontal="right" vertical="center" wrapText="1"/>
    </xf>
    <xf numFmtId="164" fontId="5" fillId="33" borderId="21" xfId="2" applyNumberFormat="1" applyFont="1" applyFill="1" applyBorder="1" applyAlignment="1">
      <alignment horizontal="right" vertical="center" wrapText="1"/>
    </xf>
    <xf numFmtId="164" fontId="5" fillId="33" borderId="23" xfId="2" applyNumberFormat="1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left" vertical="center" wrapText="1" inden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6" fillId="0" borderId="25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horizontal="left" vertical="center" wrapText="1" indent="2"/>
    </xf>
    <xf numFmtId="0" fontId="5" fillId="0" borderId="19" xfId="2" applyFont="1" applyFill="1" applyBorder="1" applyAlignment="1">
      <alignment horizontal="left" vertical="center" wrapText="1" indent="3"/>
    </xf>
    <xf numFmtId="0" fontId="5" fillId="0" borderId="19" xfId="2" applyFont="1" applyFill="1" applyBorder="1" applyAlignment="1">
      <alignment horizontal="left" vertical="center" wrapText="1" indent="2"/>
    </xf>
    <xf numFmtId="0" fontId="2" fillId="0" borderId="0" xfId="0" applyFont="1"/>
    <xf numFmtId="164" fontId="6" fillId="0" borderId="20" xfId="1" applyNumberFormat="1" applyFont="1" applyFill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right" vertical="center" wrapText="1"/>
    </xf>
    <xf numFmtId="164" fontId="6" fillId="0" borderId="22" xfId="1" applyNumberFormat="1" applyFont="1" applyFill="1" applyBorder="1" applyAlignment="1">
      <alignment horizontal="right" vertical="center" wrapText="1"/>
    </xf>
    <xf numFmtId="164" fontId="6" fillId="33" borderId="20" xfId="2" applyNumberFormat="1" applyFont="1" applyFill="1" applyBorder="1" applyAlignment="1">
      <alignment horizontal="right" vertical="center" wrapText="1"/>
    </xf>
    <xf numFmtId="164" fontId="6" fillId="33" borderId="21" xfId="2" applyNumberFormat="1" applyFont="1" applyFill="1" applyBorder="1" applyAlignment="1">
      <alignment horizontal="right" vertical="center" wrapText="1"/>
    </xf>
    <xf numFmtId="164" fontId="6" fillId="33" borderId="23" xfId="2" applyNumberFormat="1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vertical="center" wrapText="1"/>
    </xf>
    <xf numFmtId="0" fontId="7" fillId="0" borderId="0" xfId="0" applyFont="1"/>
    <xf numFmtId="164" fontId="6" fillId="33" borderId="10" xfId="2" applyNumberFormat="1" applyFont="1" applyFill="1" applyBorder="1" applyAlignment="1">
      <alignment horizontal="right" vertical="center" wrapText="1"/>
    </xf>
    <xf numFmtId="164" fontId="6" fillId="33" borderId="11" xfId="2" applyNumberFormat="1" applyFont="1" applyFill="1" applyBorder="1" applyAlignment="1">
      <alignment horizontal="right" vertical="center" wrapText="1"/>
    </xf>
    <xf numFmtId="164" fontId="6" fillId="33" borderId="13" xfId="2" applyNumberFormat="1" applyFont="1" applyFill="1" applyBorder="1" applyAlignment="1">
      <alignment horizontal="center" vertical="center" wrapText="1"/>
    </xf>
    <xf numFmtId="0" fontId="5" fillId="0" borderId="19" xfId="2" applyNumberFormat="1" applyFont="1" applyFill="1" applyBorder="1" applyAlignment="1">
      <alignment horizontal="left" vertical="center" wrapText="1" indent="2"/>
    </xf>
    <xf numFmtId="164" fontId="6" fillId="33" borderId="15" xfId="2" applyNumberFormat="1" applyFont="1" applyFill="1" applyBorder="1" applyAlignment="1">
      <alignment horizontal="right" vertical="center" wrapText="1"/>
    </xf>
    <xf numFmtId="164" fontId="6" fillId="33" borderId="16" xfId="2" applyNumberFormat="1" applyFont="1" applyFill="1" applyBorder="1" applyAlignment="1">
      <alignment horizontal="right" vertical="center" wrapText="1"/>
    </xf>
    <xf numFmtId="164" fontId="6" fillId="33" borderId="18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/>
    <xf numFmtId="165" fontId="3" fillId="0" borderId="0" xfId="0" applyNumberFormat="1" applyFont="1"/>
    <xf numFmtId="0" fontId="10" fillId="0" borderId="0" xfId="0" applyFont="1" applyFill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0" xfId="0" applyFont="1"/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5" fontId="5" fillId="33" borderId="10" xfId="0" applyNumberFormat="1" applyFont="1" applyFill="1" applyBorder="1" applyAlignment="1">
      <alignment vertical="center"/>
    </xf>
    <xf numFmtId="165" fontId="5" fillId="33" borderId="11" xfId="0" applyNumberFormat="1" applyFont="1" applyFill="1" applyBorder="1" applyAlignment="1">
      <alignment vertical="center"/>
    </xf>
    <xf numFmtId="165" fontId="5" fillId="33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indent="2"/>
    </xf>
    <xf numFmtId="0" fontId="5" fillId="0" borderId="0" xfId="0" applyFont="1"/>
    <xf numFmtId="165" fontId="5" fillId="0" borderId="15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vertical="center"/>
    </xf>
    <xf numFmtId="165" fontId="5" fillId="0" borderId="17" xfId="0" applyNumberFormat="1" applyFont="1" applyBorder="1" applyAlignment="1">
      <alignment vertical="center"/>
    </xf>
    <xf numFmtId="165" fontId="5" fillId="33" borderId="15" xfId="0" applyNumberFormat="1" applyFont="1" applyFill="1" applyBorder="1" applyAlignment="1">
      <alignment vertical="center"/>
    </xf>
    <xf numFmtId="165" fontId="5" fillId="33" borderId="16" xfId="0" applyNumberFormat="1" applyFont="1" applyFill="1" applyBorder="1" applyAlignment="1">
      <alignment vertical="center"/>
    </xf>
    <xf numFmtId="165" fontId="5" fillId="33" borderId="18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left" vertical="center" wrapText="1" indent="2"/>
    </xf>
    <xf numFmtId="0" fontId="12" fillId="0" borderId="0" xfId="0" applyFont="1"/>
    <xf numFmtId="165" fontId="6" fillId="0" borderId="15" xfId="0" applyNumberFormat="1" applyFont="1" applyBorder="1" applyAlignment="1">
      <alignment vertical="center"/>
    </xf>
    <xf numFmtId="165" fontId="6" fillId="0" borderId="16" xfId="0" applyNumberFormat="1" applyFont="1" applyBorder="1" applyAlignment="1">
      <alignment vertical="center"/>
    </xf>
    <xf numFmtId="165" fontId="6" fillId="0" borderId="17" xfId="0" applyNumberFormat="1" applyFont="1" applyBorder="1" applyAlignment="1">
      <alignment vertical="center"/>
    </xf>
    <xf numFmtId="165" fontId="6" fillId="33" borderId="15" xfId="0" applyNumberFormat="1" applyFont="1" applyFill="1" applyBorder="1" applyAlignment="1">
      <alignment vertical="center"/>
    </xf>
    <xf numFmtId="165" fontId="6" fillId="33" borderId="16" xfId="0" applyNumberFormat="1" applyFont="1" applyFill="1" applyBorder="1" applyAlignment="1">
      <alignment vertical="center"/>
    </xf>
    <xf numFmtId="165" fontId="6" fillId="33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 indent="1"/>
    </xf>
    <xf numFmtId="0" fontId="6" fillId="0" borderId="0" xfId="0" applyFont="1"/>
    <xf numFmtId="0" fontId="5" fillId="0" borderId="19" xfId="0" applyFont="1" applyBorder="1" applyAlignment="1">
      <alignment horizontal="left" vertical="center" wrapText="1" indent="1"/>
    </xf>
    <xf numFmtId="165" fontId="6" fillId="0" borderId="20" xfId="0" applyNumberFormat="1" applyFont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165" fontId="6" fillId="33" borderId="20" xfId="0" applyNumberFormat="1" applyFont="1" applyFill="1" applyBorder="1" applyAlignment="1">
      <alignment vertical="center"/>
    </xf>
    <xf numFmtId="165" fontId="6" fillId="33" borderId="21" xfId="0" applyNumberFormat="1" applyFont="1" applyFill="1" applyBorder="1" applyAlignment="1">
      <alignment vertical="center"/>
    </xf>
    <xf numFmtId="165" fontId="6" fillId="33" borderId="23" xfId="0" applyNumberFormat="1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19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13" fillId="0" borderId="0" xfId="0" applyFont="1" applyFill="1"/>
    <xf numFmtId="165" fontId="5" fillId="33" borderId="10" xfId="0" applyNumberFormat="1" applyFont="1" applyFill="1" applyBorder="1" applyAlignment="1">
      <alignment horizontal="right" vertical="center" wrapText="1"/>
    </xf>
    <xf numFmtId="165" fontId="5" fillId="33" borderId="11" xfId="0" applyNumberFormat="1" applyFont="1" applyFill="1" applyBorder="1" applyAlignment="1">
      <alignment horizontal="right" vertical="center" wrapText="1"/>
    </xf>
    <xf numFmtId="165" fontId="5" fillId="33" borderId="13" xfId="0" applyNumberFormat="1" applyFont="1" applyFill="1" applyBorder="1" applyAlignment="1">
      <alignment horizontal="center" vertical="center" wrapText="1"/>
    </xf>
    <xf numFmtId="165" fontId="5" fillId="33" borderId="15" xfId="0" applyNumberFormat="1" applyFont="1" applyFill="1" applyBorder="1" applyAlignment="1">
      <alignment horizontal="right" vertical="center" wrapText="1"/>
    </xf>
    <xf numFmtId="165" fontId="5" fillId="33" borderId="16" xfId="0" applyNumberFormat="1" applyFont="1" applyFill="1" applyBorder="1" applyAlignment="1">
      <alignment horizontal="right" vertical="center" wrapText="1"/>
    </xf>
    <xf numFmtId="165" fontId="5" fillId="33" borderId="18" xfId="0" applyNumberFormat="1" applyFont="1" applyFill="1" applyBorder="1" applyAlignment="1">
      <alignment horizontal="center" vertical="center" wrapText="1"/>
    </xf>
    <xf numFmtId="165" fontId="6" fillId="33" borderId="15" xfId="0" applyNumberFormat="1" applyFont="1" applyFill="1" applyBorder="1" applyAlignment="1">
      <alignment horizontal="right" vertical="center"/>
    </xf>
    <xf numFmtId="165" fontId="6" fillId="33" borderId="16" xfId="0" applyNumberFormat="1" applyFont="1" applyFill="1" applyBorder="1" applyAlignment="1">
      <alignment horizontal="right" vertical="center"/>
    </xf>
    <xf numFmtId="165" fontId="6" fillId="33" borderId="18" xfId="0" applyNumberFormat="1" applyFont="1" applyFill="1" applyBorder="1" applyAlignment="1">
      <alignment horizontal="center" vertical="center"/>
    </xf>
    <xf numFmtId="165" fontId="6" fillId="33" borderId="20" xfId="0" applyNumberFormat="1" applyFont="1" applyFill="1" applyBorder="1" applyAlignment="1">
      <alignment horizontal="right" vertical="center"/>
    </xf>
    <xf numFmtId="165" fontId="6" fillId="33" borderId="21" xfId="0" applyNumberFormat="1" applyFont="1" applyFill="1" applyBorder="1" applyAlignment="1">
      <alignment horizontal="right" vertical="center"/>
    </xf>
    <xf numFmtId="165" fontId="6" fillId="33" borderId="23" xfId="0" applyNumberFormat="1" applyFont="1" applyFill="1" applyBorder="1" applyAlignment="1">
      <alignment horizontal="center" vertical="center"/>
    </xf>
    <xf numFmtId="165" fontId="5" fillId="33" borderId="15" xfId="0" applyNumberFormat="1" applyFont="1" applyFill="1" applyBorder="1" applyAlignment="1">
      <alignment horizontal="right" vertical="center"/>
    </xf>
    <xf numFmtId="165" fontId="5" fillId="33" borderId="16" xfId="0" applyNumberFormat="1" applyFont="1" applyFill="1" applyBorder="1" applyAlignment="1">
      <alignment horizontal="right" vertical="center"/>
    </xf>
    <xf numFmtId="165" fontId="5" fillId="33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164" fontId="5" fillId="0" borderId="17" xfId="1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 wrapText="1"/>
    </xf>
    <xf numFmtId="164" fontId="5" fillId="33" borderId="16" xfId="0" applyNumberFormat="1" applyFont="1" applyFill="1" applyBorder="1" applyAlignment="1">
      <alignment horizontal="right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6" fillId="0" borderId="15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164" fontId="6" fillId="0" borderId="17" xfId="1" applyNumberFormat="1" applyFont="1" applyFill="1" applyBorder="1" applyAlignment="1">
      <alignment horizontal="right" vertical="center"/>
    </xf>
    <xf numFmtId="164" fontId="6" fillId="33" borderId="15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164" fontId="6" fillId="33" borderId="18" xfId="0" applyNumberFormat="1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right" vertical="center"/>
    </xf>
    <xf numFmtId="164" fontId="6" fillId="0" borderId="21" xfId="1" applyNumberFormat="1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right" vertical="center"/>
    </xf>
    <xf numFmtId="164" fontId="6" fillId="33" borderId="20" xfId="0" applyNumberFormat="1" applyFont="1" applyFill="1" applyBorder="1" applyAlignment="1">
      <alignment horizontal="right" vertical="center"/>
    </xf>
    <xf numFmtId="164" fontId="6" fillId="33" borderId="21" xfId="0" applyNumberFormat="1" applyFont="1" applyFill="1" applyBorder="1" applyAlignment="1">
      <alignment horizontal="right" vertical="center"/>
    </xf>
    <xf numFmtId="164" fontId="6" fillId="33" borderId="23" xfId="0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right" vertical="center"/>
    </xf>
    <xf numFmtId="164" fontId="5" fillId="0" borderId="27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right" vertical="center"/>
    </xf>
    <xf numFmtId="164" fontId="5" fillId="33" borderId="26" xfId="0" applyNumberFormat="1" applyFont="1" applyFill="1" applyBorder="1" applyAlignment="1">
      <alignment horizontal="right" vertical="center" wrapText="1"/>
    </xf>
    <xf numFmtId="164" fontId="5" fillId="33" borderId="27" xfId="0" applyNumberFormat="1" applyFont="1" applyFill="1" applyBorder="1" applyAlignment="1">
      <alignment horizontal="right" vertical="center" wrapText="1"/>
    </xf>
    <xf numFmtId="164" fontId="5" fillId="33" borderId="29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right" vertical="center"/>
    </xf>
    <xf numFmtId="164" fontId="5" fillId="33" borderId="16" xfId="0" applyNumberFormat="1" applyFont="1" applyFill="1" applyBorder="1" applyAlignment="1">
      <alignment horizontal="right" vertical="center"/>
    </xf>
    <xf numFmtId="164" fontId="5" fillId="3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6" fillId="0" borderId="0" xfId="3" applyNumberFormat="1" applyFont="1" applyFill="1" applyAlignment="1">
      <alignment horizontal="center" vertical="center" wrapText="1"/>
    </xf>
    <xf numFmtId="164" fontId="3" fillId="0" borderId="0" xfId="3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4" fontId="3" fillId="34" borderId="0" xfId="3" applyNumberFormat="1" applyFont="1" applyFill="1" applyAlignment="1">
      <alignment vertical="center"/>
    </xf>
    <xf numFmtId="164" fontId="3" fillId="35" borderId="0" xfId="3" applyNumberFormat="1" applyFont="1" applyFill="1" applyAlignment="1">
      <alignment vertical="center"/>
    </xf>
    <xf numFmtId="164" fontId="3" fillId="36" borderId="0" xfId="3" applyNumberFormat="1" applyFont="1" applyFill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10" fontId="5" fillId="0" borderId="11" xfId="0" applyNumberFormat="1" applyFont="1" applyFill="1" applyBorder="1" applyAlignment="1">
      <alignment vertical="center"/>
    </xf>
    <xf numFmtId="10" fontId="5" fillId="0" borderId="12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10" fontId="5" fillId="0" borderId="20" xfId="0" applyNumberFormat="1" applyFont="1" applyFill="1" applyBorder="1" applyAlignment="1">
      <alignment vertical="center"/>
    </xf>
    <xf numFmtId="10" fontId="5" fillId="0" borderId="21" xfId="0" applyNumberFormat="1" applyFont="1" applyFill="1" applyBorder="1" applyAlignment="1">
      <alignment vertical="center"/>
    </xf>
    <xf numFmtId="10" fontId="5" fillId="0" borderId="22" xfId="0" applyNumberFormat="1" applyFont="1" applyFill="1" applyBorder="1" applyAlignment="1">
      <alignment vertical="center"/>
    </xf>
    <xf numFmtId="10" fontId="5" fillId="33" borderId="20" xfId="0" applyNumberFormat="1" applyFont="1" applyFill="1" applyBorder="1" applyAlignment="1">
      <alignment horizontal="center" vertical="center"/>
    </xf>
    <xf numFmtId="10" fontId="5" fillId="33" borderId="21" xfId="0" applyNumberFormat="1" applyFont="1" applyFill="1" applyBorder="1" applyAlignment="1">
      <alignment horizontal="center" vertical="center"/>
    </xf>
    <xf numFmtId="10" fontId="5" fillId="33" borderId="23" xfId="0" applyNumberFormat="1" applyFont="1" applyFill="1" applyBorder="1" applyAlignment="1">
      <alignment horizontal="center" vertical="center"/>
    </xf>
    <xf numFmtId="0" fontId="5" fillId="0" borderId="24" xfId="0" applyFont="1" applyBorder="1"/>
    <xf numFmtId="164" fontId="15" fillId="0" borderId="0" xfId="1" applyNumberFormat="1" applyFont="1" applyFill="1" applyAlignment="1">
      <alignment vertical="center"/>
    </xf>
    <xf numFmtId="164" fontId="15" fillId="36" borderId="0" xfId="1" applyNumberFormat="1" applyFont="1" applyFill="1" applyAlignment="1">
      <alignment vertical="center"/>
    </xf>
    <xf numFmtId="164" fontId="15" fillId="35" borderId="0" xfId="1" applyNumberFormat="1" applyFont="1" applyFill="1" applyAlignment="1">
      <alignment vertical="center"/>
    </xf>
    <xf numFmtId="164" fontId="15" fillId="34" borderId="0" xfId="1" applyNumberFormat="1" applyFont="1" applyFill="1" applyAlignment="1">
      <alignment vertical="center"/>
    </xf>
    <xf numFmtId="0" fontId="16" fillId="0" borderId="0" xfId="0" applyFont="1" applyFill="1"/>
    <xf numFmtId="0" fontId="17" fillId="0" borderId="0" xfId="0" applyFont="1"/>
    <xf numFmtId="0" fontId="3" fillId="0" borderId="0" xfId="0" applyFont="1" applyFill="1"/>
    <xf numFmtId="4" fontId="5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center" vertical="center"/>
    </xf>
    <xf numFmtId="0" fontId="18" fillId="37" borderId="30" xfId="0" applyFont="1" applyFill="1" applyBorder="1" applyAlignment="1">
      <alignment horizontal="left" vertical="center" wrapText="1"/>
    </xf>
    <xf numFmtId="4" fontId="5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33" borderId="15" xfId="0" applyNumberFormat="1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horizontal="center" vertical="center"/>
    </xf>
    <xf numFmtId="0" fontId="18" fillId="37" borderId="31" xfId="0" applyFont="1" applyFill="1" applyBorder="1" applyAlignment="1">
      <alignment horizontal="left" vertical="center" wrapText="1"/>
    </xf>
    <xf numFmtId="4" fontId="5" fillId="33" borderId="18" xfId="0" applyNumberFormat="1" applyFont="1" applyFill="1" applyBorder="1" applyAlignment="1">
      <alignment vertical="center"/>
    </xf>
    <xf numFmtId="0" fontId="5" fillId="37" borderId="31" xfId="0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33" borderId="20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" fontId="5" fillId="33" borderId="23" xfId="0" applyNumberFormat="1" applyFont="1" applyFill="1" applyBorder="1" applyAlignment="1">
      <alignment vertical="center"/>
    </xf>
    <xf numFmtId="0" fontId="5" fillId="37" borderId="3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0" fillId="0" borderId="33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6" borderId="34" xfId="0" applyFont="1" applyFill="1" applyBorder="1" applyAlignment="1">
      <alignment horizontal="left" vertical="center" wrapText="1"/>
    </xf>
    <xf numFmtId="0" fontId="23" fillId="0" borderId="35" xfId="4" applyFont="1" applyBorder="1" applyAlignment="1">
      <alignment vertical="center"/>
    </xf>
    <xf numFmtId="0" fontId="23" fillId="0" borderId="30" xfId="4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6" borderId="36" xfId="0" applyFont="1" applyFill="1" applyBorder="1" applyAlignment="1">
      <alignment horizontal="left" vertical="center" wrapText="1"/>
    </xf>
    <xf numFmtId="0" fontId="23" fillId="0" borderId="37" xfId="4" applyFont="1" applyBorder="1" applyAlignment="1">
      <alignment vertical="center"/>
    </xf>
    <xf numFmtId="0" fontId="23" fillId="0" borderId="31" xfId="4" applyFont="1" applyBorder="1" applyAlignment="1">
      <alignment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165" fontId="24" fillId="0" borderId="15" xfId="0" applyNumberFormat="1" applyFont="1" applyFill="1" applyBorder="1" applyAlignment="1">
      <alignment horizontal="center" vertical="center"/>
    </xf>
    <xf numFmtId="165" fontId="24" fillId="0" borderId="16" xfId="0" applyNumberFormat="1" applyFont="1" applyFill="1" applyBorder="1" applyAlignment="1">
      <alignment horizontal="center" vertical="center"/>
    </xf>
    <xf numFmtId="165" fontId="24" fillId="0" borderId="17" xfId="0" applyNumberFormat="1" applyFont="1" applyFill="1" applyBorder="1" applyAlignment="1">
      <alignment horizontal="center" vertical="center"/>
    </xf>
    <xf numFmtId="0" fontId="21" fillId="35" borderId="36" xfId="0" applyFont="1" applyFill="1" applyBorder="1" applyAlignment="1">
      <alignment horizontal="left" vertical="center" wrapText="1"/>
    </xf>
    <xf numFmtId="0" fontId="25" fillId="0" borderId="37" xfId="4" applyFont="1" applyBorder="1" applyAlignment="1">
      <alignment vertical="center"/>
    </xf>
    <xf numFmtId="0" fontId="25" fillId="0" borderId="31" xfId="4" applyFont="1" applyBorder="1" applyAlignment="1">
      <alignment vertical="center"/>
    </xf>
    <xf numFmtId="0" fontId="21" fillId="33" borderId="18" xfId="0" applyFont="1" applyFill="1" applyBorder="1" applyAlignment="1">
      <alignment horizontal="center" vertical="center"/>
    </xf>
    <xf numFmtId="0" fontId="21" fillId="38" borderId="36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left" vertical="center" wrapText="1"/>
    </xf>
    <xf numFmtId="0" fontId="23" fillId="0" borderId="39" xfId="4" applyFont="1" applyBorder="1" applyAlignment="1">
      <alignment vertical="center"/>
    </xf>
    <xf numFmtId="0" fontId="23" fillId="0" borderId="32" xfId="4" applyFont="1" applyBorder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36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35" borderId="0" xfId="0" applyFont="1" applyFill="1" applyBorder="1" applyAlignment="1" applyProtection="1">
      <alignment horizontal="left" vertical="center" wrapText="1"/>
      <protection locked="0"/>
    </xf>
    <xf numFmtId="0" fontId="21" fillId="38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165" fontId="5" fillId="0" borderId="10" xfId="2" applyNumberFormat="1" applyFont="1" applyFill="1" applyBorder="1" applyAlignment="1">
      <alignment vertical="center" shrinkToFit="1"/>
    </xf>
    <xf numFmtId="165" fontId="5" fillId="0" borderId="11" xfId="2" applyNumberFormat="1" applyFont="1" applyFill="1" applyBorder="1" applyAlignment="1">
      <alignment vertical="center" shrinkToFit="1"/>
    </xf>
    <xf numFmtId="165" fontId="5" fillId="0" borderId="12" xfId="2" applyNumberFormat="1" applyFont="1" applyFill="1" applyBorder="1" applyAlignment="1">
      <alignment vertical="center" shrinkToFit="1"/>
    </xf>
    <xf numFmtId="165" fontId="5" fillId="33" borderId="10" xfId="2" applyNumberFormat="1" applyFont="1" applyFill="1" applyBorder="1" applyAlignment="1">
      <alignment vertical="center" shrinkToFit="1"/>
    </xf>
    <xf numFmtId="165" fontId="5" fillId="33" borderId="11" xfId="2" applyNumberFormat="1" applyFont="1" applyFill="1" applyBorder="1" applyAlignment="1">
      <alignment vertical="center" shrinkToFit="1"/>
    </xf>
    <xf numFmtId="165" fontId="5" fillId="33" borderId="13" xfId="2" applyNumberFormat="1" applyFont="1" applyFill="1" applyBorder="1" applyAlignment="1">
      <alignment vertical="center" shrinkToFit="1"/>
    </xf>
    <xf numFmtId="0" fontId="28" fillId="0" borderId="35" xfId="0" applyFont="1" applyBorder="1" applyAlignment="1">
      <alignment horizontal="left" vertical="center" wrapText="1" indent="1"/>
    </xf>
    <xf numFmtId="0" fontId="28" fillId="0" borderId="3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165" fontId="5" fillId="0" borderId="15" xfId="2" applyNumberFormat="1" applyFont="1" applyFill="1" applyBorder="1" applyAlignment="1">
      <alignment vertical="center" shrinkToFit="1"/>
    </xf>
    <xf numFmtId="165" fontId="5" fillId="0" borderId="16" xfId="2" applyNumberFormat="1" applyFont="1" applyFill="1" applyBorder="1" applyAlignment="1">
      <alignment vertical="center" shrinkToFit="1"/>
    </xf>
    <xf numFmtId="165" fontId="5" fillId="0" borderId="17" xfId="2" applyNumberFormat="1" applyFont="1" applyFill="1" applyBorder="1" applyAlignment="1">
      <alignment vertical="center" shrinkToFit="1"/>
    </xf>
    <xf numFmtId="165" fontId="5" fillId="33" borderId="15" xfId="2" applyNumberFormat="1" applyFont="1" applyFill="1" applyBorder="1" applyAlignment="1">
      <alignment vertical="center" shrinkToFit="1"/>
    </xf>
    <xf numFmtId="165" fontId="5" fillId="33" borderId="16" xfId="2" applyNumberFormat="1" applyFont="1" applyFill="1" applyBorder="1" applyAlignment="1">
      <alignment vertical="center" shrinkToFit="1"/>
    </xf>
    <xf numFmtId="165" fontId="5" fillId="33" borderId="18" xfId="2" applyNumberFormat="1" applyFont="1" applyFill="1" applyBorder="1" applyAlignment="1">
      <alignment vertical="center" shrinkToFit="1"/>
    </xf>
    <xf numFmtId="0" fontId="28" fillId="0" borderId="37" xfId="0" applyFont="1" applyBorder="1" applyAlignment="1">
      <alignment horizontal="left" vertical="center" wrapText="1" indent="2"/>
    </xf>
    <xf numFmtId="0" fontId="28" fillId="0" borderId="3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 wrapText="1" indent="1"/>
    </xf>
    <xf numFmtId="165" fontId="6" fillId="0" borderId="15" xfId="2" applyNumberFormat="1" applyFont="1" applyFill="1" applyBorder="1" applyAlignment="1">
      <alignment horizontal="center" vertical="center" shrinkToFit="1"/>
    </xf>
    <xf numFmtId="165" fontId="6" fillId="0" borderId="16" xfId="2" applyNumberFormat="1" applyFont="1" applyFill="1" applyBorder="1" applyAlignment="1">
      <alignment horizontal="center" vertical="center" shrinkToFit="1"/>
    </xf>
    <xf numFmtId="165" fontId="6" fillId="0" borderId="17" xfId="2" applyNumberFormat="1" applyFont="1" applyFill="1" applyBorder="1" applyAlignment="1">
      <alignment horizontal="center" vertical="center" shrinkToFit="1"/>
    </xf>
    <xf numFmtId="165" fontId="6" fillId="33" borderId="15" xfId="2" applyNumberFormat="1" applyFont="1" applyFill="1" applyBorder="1" applyAlignment="1">
      <alignment horizontal="center" vertical="center" shrinkToFit="1"/>
    </xf>
    <xf numFmtId="165" fontId="6" fillId="33" borderId="16" xfId="2" applyNumberFormat="1" applyFont="1" applyFill="1" applyBorder="1" applyAlignment="1">
      <alignment horizontal="center" vertical="center" shrinkToFit="1"/>
    </xf>
    <xf numFmtId="165" fontId="6" fillId="33" borderId="18" xfId="2" applyNumberFormat="1" applyFont="1" applyFill="1" applyBorder="1" applyAlignment="1">
      <alignment horizontal="center" vertical="center" shrinkToFit="1"/>
    </xf>
    <xf numFmtId="0" fontId="29" fillId="0" borderId="36" xfId="0" applyFont="1" applyBorder="1" applyAlignment="1">
      <alignment vertical="center" wrapText="1"/>
    </xf>
    <xf numFmtId="0" fontId="29" fillId="0" borderId="3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 indent="3"/>
    </xf>
    <xf numFmtId="165" fontId="6" fillId="0" borderId="15" xfId="2" applyNumberFormat="1" applyFont="1" applyFill="1" applyBorder="1" applyAlignment="1">
      <alignment vertical="center" shrinkToFit="1"/>
    </xf>
    <xf numFmtId="165" fontId="6" fillId="0" borderId="16" xfId="2" applyNumberFormat="1" applyFont="1" applyFill="1" applyBorder="1" applyAlignment="1">
      <alignment vertical="center" shrinkToFit="1"/>
    </xf>
    <xf numFmtId="165" fontId="6" fillId="0" borderId="17" xfId="2" applyNumberFormat="1" applyFont="1" applyFill="1" applyBorder="1" applyAlignment="1">
      <alignment vertical="center" shrinkToFit="1"/>
    </xf>
    <xf numFmtId="165" fontId="6" fillId="33" borderId="15" xfId="2" applyNumberFormat="1" applyFont="1" applyFill="1" applyBorder="1" applyAlignment="1">
      <alignment vertical="center" shrinkToFit="1"/>
    </xf>
    <xf numFmtId="165" fontId="6" fillId="33" borderId="16" xfId="2" applyNumberFormat="1" applyFont="1" applyFill="1" applyBorder="1" applyAlignment="1">
      <alignment vertical="center" shrinkToFit="1"/>
    </xf>
    <xf numFmtId="165" fontId="6" fillId="33" borderId="18" xfId="2" applyNumberFormat="1" applyFont="1" applyFill="1" applyBorder="1" applyAlignment="1">
      <alignment vertical="center" shrinkToFit="1"/>
    </xf>
    <xf numFmtId="0" fontId="5" fillId="0" borderId="15" xfId="2" applyNumberFormat="1" applyFont="1" applyFill="1" applyBorder="1" applyAlignment="1">
      <alignment horizontal="center" vertical="center" shrinkToFit="1"/>
    </xf>
    <xf numFmtId="0" fontId="5" fillId="0" borderId="16" xfId="2" applyNumberFormat="1" applyFont="1" applyFill="1" applyBorder="1" applyAlignment="1">
      <alignment horizontal="center" vertical="center" shrinkToFit="1"/>
    </xf>
    <xf numFmtId="166" fontId="5" fillId="0" borderId="15" xfId="2" applyNumberFormat="1" applyFont="1" applyFill="1" applyBorder="1" applyAlignment="1">
      <alignment vertical="center" shrinkToFit="1"/>
    </xf>
    <xf numFmtId="166" fontId="5" fillId="0" borderId="16" xfId="2" applyNumberFormat="1" applyFont="1" applyFill="1" applyBorder="1" applyAlignment="1">
      <alignment vertical="center" shrinkToFit="1"/>
    </xf>
    <xf numFmtId="166" fontId="5" fillId="0" borderId="17" xfId="2" applyNumberFormat="1" applyFont="1" applyFill="1" applyBorder="1" applyAlignment="1">
      <alignment vertical="center" shrinkToFit="1"/>
    </xf>
    <xf numFmtId="166" fontId="5" fillId="33" borderId="15" xfId="2" applyNumberFormat="1" applyFont="1" applyFill="1" applyBorder="1" applyAlignment="1">
      <alignment vertical="center" shrinkToFit="1"/>
    </xf>
    <xf numFmtId="166" fontId="5" fillId="33" borderId="16" xfId="2" applyNumberFormat="1" applyFont="1" applyFill="1" applyBorder="1" applyAlignment="1">
      <alignment vertical="center" shrinkToFit="1"/>
    </xf>
    <xf numFmtId="166" fontId="5" fillId="33" borderId="18" xfId="2" applyNumberFormat="1" applyFont="1" applyFill="1" applyBorder="1" applyAlignment="1">
      <alignment vertical="center" shrinkToFit="1"/>
    </xf>
    <xf numFmtId="0" fontId="29" fillId="0" borderId="36" xfId="0" applyFont="1" applyBorder="1" applyAlignment="1" applyProtection="1">
      <alignment horizontal="left" vertical="center" wrapText="1" indent="2"/>
      <protection locked="0"/>
    </xf>
    <xf numFmtId="0" fontId="28" fillId="0" borderId="37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165" fontId="5" fillId="33" borderId="15" xfId="2" applyNumberFormat="1" applyFont="1" applyFill="1" applyBorder="1" applyAlignment="1">
      <alignment horizontal="center" vertical="center" shrinkToFit="1"/>
    </xf>
    <xf numFmtId="165" fontId="5" fillId="33" borderId="16" xfId="2" applyNumberFormat="1" applyFont="1" applyFill="1" applyBorder="1" applyAlignment="1">
      <alignment horizontal="center" vertical="center" shrinkToFit="1"/>
    </xf>
    <xf numFmtId="165" fontId="5" fillId="33" borderId="18" xfId="2" applyNumberFormat="1" applyFont="1" applyFill="1" applyBorder="1" applyAlignment="1">
      <alignment horizontal="center" vertical="center" shrinkToFit="1"/>
    </xf>
    <xf numFmtId="0" fontId="0" fillId="0" borderId="0" xfId="0" applyFont="1"/>
    <xf numFmtId="1" fontId="9" fillId="39" borderId="20" xfId="2" applyNumberFormat="1" applyFont="1" applyFill="1" applyBorder="1" applyAlignment="1">
      <alignment horizontal="center" vertical="center"/>
    </xf>
    <xf numFmtId="1" fontId="9" fillId="39" borderId="21" xfId="2" applyNumberFormat="1" applyFont="1" applyFill="1" applyBorder="1" applyAlignment="1">
      <alignment horizontal="center" vertical="center"/>
    </xf>
    <xf numFmtId="1" fontId="9" fillId="39" borderId="22" xfId="2" applyNumberFormat="1" applyFont="1" applyFill="1" applyBorder="1" applyAlignment="1">
      <alignment horizontal="center" vertical="center"/>
    </xf>
    <xf numFmtId="49" fontId="9" fillId="39" borderId="20" xfId="2" applyNumberFormat="1" applyFont="1" applyFill="1" applyBorder="1" applyAlignment="1">
      <alignment horizontal="center" vertical="center" wrapText="1"/>
    </xf>
    <xf numFmtId="49" fontId="9" fillId="39" borderId="21" xfId="2" applyNumberFormat="1" applyFont="1" applyFill="1" applyBorder="1" applyAlignment="1">
      <alignment horizontal="center" vertical="center" wrapText="1"/>
    </xf>
    <xf numFmtId="49" fontId="9" fillId="39" borderId="23" xfId="2" applyNumberFormat="1" applyFont="1" applyFill="1" applyBorder="1" applyAlignment="1">
      <alignment horizontal="center" vertical="center" wrapText="1"/>
    </xf>
    <xf numFmtId="49" fontId="9" fillId="39" borderId="38" xfId="2" applyNumberFormat="1" applyFont="1" applyFill="1" applyBorder="1" applyAlignment="1">
      <alignment horizontal="center" vertical="center"/>
    </xf>
    <xf numFmtId="49" fontId="9" fillId="39" borderId="39" xfId="2" applyNumberFormat="1" applyFont="1" applyFill="1" applyBorder="1" applyAlignment="1">
      <alignment horizontal="center" vertical="center"/>
    </xf>
    <xf numFmtId="49" fontId="9" fillId="39" borderId="23" xfId="2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Protection="1">
      <protection locked="0"/>
    </xf>
    <xf numFmtId="0" fontId="17" fillId="0" borderId="33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9" fillId="0" borderId="33" xfId="0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wrapText="1"/>
    </xf>
    <xf numFmtId="0" fontId="5" fillId="0" borderId="17" xfId="2" applyNumberFormat="1" applyFont="1" applyFill="1" applyBorder="1" applyAlignment="1">
      <alignment horizontal="center" vertical="center" shrinkToFit="1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wrapText="1"/>
    </xf>
    <xf numFmtId="0" fontId="51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65" fillId="0" borderId="0" xfId="105" applyFont="1" applyBorder="1" applyAlignment="1">
      <alignment horizontal="center" vertical="center" wrapText="1"/>
    </xf>
    <xf numFmtId="0" fontId="0" fillId="0" borderId="0" xfId="0" applyBorder="1" applyAlignment="1"/>
  </cellXfs>
  <cellStyles count="106">
    <cellStyle name="20% - akcent 1 2" xfId="5"/>
    <cellStyle name="20% - akcent 1 3" xfId="6"/>
    <cellStyle name="20% - akcent 2 2" xfId="7"/>
    <cellStyle name="20% - akcent 2 3" xfId="8"/>
    <cellStyle name="20% - akcent 3 2" xfId="9"/>
    <cellStyle name="20% - akcent 3 3" xfId="10"/>
    <cellStyle name="20% - akcent 4 2" xfId="11"/>
    <cellStyle name="20% - akcent 4 3" xfId="12"/>
    <cellStyle name="20% - akcent 5 2" xfId="13"/>
    <cellStyle name="20% - akcent 5 3" xfId="14"/>
    <cellStyle name="20% - akcent 6 2" xfId="15"/>
    <cellStyle name="20% - akcent 6 3" xfId="16"/>
    <cellStyle name="40% - akcent 1 2" xfId="17"/>
    <cellStyle name="40% - akcent 1 3" xfId="18"/>
    <cellStyle name="40% - akcent 2 2" xfId="19"/>
    <cellStyle name="40% - akcent 2 3" xfId="20"/>
    <cellStyle name="40% - akcent 3 2" xfId="21"/>
    <cellStyle name="40% - akcent 3 3" xfId="22"/>
    <cellStyle name="40% - akcent 4 2" xfId="23"/>
    <cellStyle name="40% - akcent 4 3" xfId="24"/>
    <cellStyle name="40% - akcent 5 2" xfId="25"/>
    <cellStyle name="40% - akcent 5 3" xfId="26"/>
    <cellStyle name="40% - akcent 6 2" xfId="27"/>
    <cellStyle name="40% - akcent 6 3" xfId="28"/>
    <cellStyle name="60% - akcent 1 2" xfId="29"/>
    <cellStyle name="60% - akcent 1 3" xfId="30"/>
    <cellStyle name="60% - akcent 2 2" xfId="31"/>
    <cellStyle name="60% - akcent 2 3" xfId="32"/>
    <cellStyle name="60% - akcent 3 2" xfId="33"/>
    <cellStyle name="60% - akcent 3 3" xfId="34"/>
    <cellStyle name="60% - akcent 4 2" xfId="35"/>
    <cellStyle name="60% - akcent 4 3" xfId="36"/>
    <cellStyle name="60% - akcent 5 2" xfId="37"/>
    <cellStyle name="60% - akcent 5 3" xfId="38"/>
    <cellStyle name="60% - akcent 6 2" xfId="39"/>
    <cellStyle name="60% - akcent 6 3" xfId="40"/>
    <cellStyle name="Akcent 1 2" xfId="41"/>
    <cellStyle name="Akcent 1 3" xfId="42"/>
    <cellStyle name="Akcent 2 2" xfId="43"/>
    <cellStyle name="Akcent 2 3" xfId="44"/>
    <cellStyle name="Akcent 3 2" xfId="45"/>
    <cellStyle name="Akcent 3 3" xfId="46"/>
    <cellStyle name="Akcent 4 2" xfId="47"/>
    <cellStyle name="Akcent 4 3" xfId="48"/>
    <cellStyle name="Akcent 5 2" xfId="49"/>
    <cellStyle name="Akcent 5 3" xfId="50"/>
    <cellStyle name="Akcent 6 2" xfId="51"/>
    <cellStyle name="Akcent 6 3" xfId="52"/>
    <cellStyle name="Dane wejściowe 2" xfId="53"/>
    <cellStyle name="Dane wejściowe 3" xfId="54"/>
    <cellStyle name="Dane wyjściowe 2" xfId="55"/>
    <cellStyle name="Dane wyjściowe 3" xfId="56"/>
    <cellStyle name="Dobre 2" xfId="57"/>
    <cellStyle name="Dobre 3" xfId="58"/>
    <cellStyle name="Komórka połączona 2" xfId="59"/>
    <cellStyle name="Komórka połączona 3" xfId="60"/>
    <cellStyle name="Komórka zaznaczona 2" xfId="61"/>
    <cellStyle name="Komórka zaznaczona 3" xfId="62"/>
    <cellStyle name="Nagłówek 1 2" xfId="63"/>
    <cellStyle name="Nagłówek 1 3" xfId="64"/>
    <cellStyle name="Nagłówek 2 2" xfId="65"/>
    <cellStyle name="Nagłówek 2 3" xfId="66"/>
    <cellStyle name="Nagłówek 3 2" xfId="67"/>
    <cellStyle name="Nagłówek 3 3" xfId="68"/>
    <cellStyle name="Nagłówek 4 2" xfId="69"/>
    <cellStyle name="Nagłówek 4 3" xfId="70"/>
    <cellStyle name="Neutralne 2" xfId="71"/>
    <cellStyle name="Neutralne 3" xfId="72"/>
    <cellStyle name="Normalny" xfId="0" builtinId="0"/>
    <cellStyle name="Normalny 2" xfId="73"/>
    <cellStyle name="Normalny 2 2" xfId="74"/>
    <cellStyle name="Normalny 2 3" xfId="75"/>
    <cellStyle name="Normalny 2 4" xfId="76"/>
    <cellStyle name="Normalny 2 5" xfId="77"/>
    <cellStyle name="Normalny 2 6" xfId="78"/>
    <cellStyle name="Normalny 2 7" xfId="79"/>
    <cellStyle name="Normalny 3" xfId="80"/>
    <cellStyle name="Normalny 4" xfId="81"/>
    <cellStyle name="Normalny 5" xfId="82"/>
    <cellStyle name="Normalny 6" xfId="83"/>
    <cellStyle name="Normalny 6 2" xfId="2"/>
    <cellStyle name="Normalny 7" xfId="84"/>
    <cellStyle name="Normalny 7 2" xfId="85"/>
    <cellStyle name="Normalny 8" xfId="4"/>
    <cellStyle name="Normalny_Prognoza i kredyty-tabele 2003" xfId="105"/>
    <cellStyle name="Obliczenia 2" xfId="86"/>
    <cellStyle name="Obliczenia 3" xfId="87"/>
    <cellStyle name="Procentowy" xfId="1" builtinId="5"/>
    <cellStyle name="Procentowy 2" xfId="88"/>
    <cellStyle name="Procentowy 2 2" xfId="3"/>
    <cellStyle name="Procentowy 2 3" xfId="89"/>
    <cellStyle name="Procentowy 3" xfId="90"/>
    <cellStyle name="Procentowy 3 2" xfId="91"/>
    <cellStyle name="Procentowy 4" xfId="92"/>
    <cellStyle name="Procentowy 5" xfId="93"/>
    <cellStyle name="Suma 2" xfId="94"/>
    <cellStyle name="Suma 3" xfId="95"/>
    <cellStyle name="Tekst objaśnienia 2" xfId="96"/>
    <cellStyle name="Tekst objaśnienia 3" xfId="97"/>
    <cellStyle name="Tekst ostrzeżenia 2" xfId="98"/>
    <cellStyle name="Tekst ostrzeżenia 3" xfId="99"/>
    <cellStyle name="Tytuł 2" xfId="100"/>
    <cellStyle name="Uwaga 2" xfId="101"/>
    <cellStyle name="Uwaga 3" xfId="102"/>
    <cellStyle name="Złe 2" xfId="103"/>
    <cellStyle name="Złe 3" xfId="104"/>
  </cellStyles>
  <dxfs count="1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Bestia\ReportToolTemporary\b3230e0d5d5145919d3cfb968796ce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rysunki"/>
      <sheetName val="WPF_AnalizaWsk_Projektowanie"/>
      <sheetName val="definicja"/>
      <sheetName val="DaneZrodlowe"/>
      <sheetName val="DaneZrodloweDoWsk"/>
    </sheetNames>
    <sheetDataSet>
      <sheetData sheetId="0"/>
      <sheetData sheetId="1"/>
      <sheetData sheetId="2"/>
      <sheetData sheetId="3">
        <row r="9">
          <cell r="E9">
            <v>2013</v>
          </cell>
          <cell r="F9">
            <v>2014</v>
          </cell>
          <cell r="G9">
            <v>2015</v>
          </cell>
          <cell r="H9">
            <v>2016</v>
          </cell>
          <cell r="I9">
            <v>2017</v>
          </cell>
          <cell r="J9">
            <v>2018</v>
          </cell>
          <cell r="K9">
            <v>2019</v>
          </cell>
          <cell r="L9">
            <v>2020</v>
          </cell>
          <cell r="M9">
            <v>2021</v>
          </cell>
          <cell r="N9">
            <v>2022</v>
          </cell>
          <cell r="O9">
            <v>2023</v>
          </cell>
          <cell r="P9">
            <v>2024</v>
          </cell>
          <cell r="Q9">
            <v>2025</v>
          </cell>
          <cell r="R9">
            <v>2026</v>
          </cell>
          <cell r="S9">
            <v>2027</v>
          </cell>
          <cell r="T9">
            <v>2028</v>
          </cell>
          <cell r="U9">
            <v>2029</v>
          </cell>
          <cell r="V9">
            <v>2030</v>
          </cell>
          <cell r="W9">
            <v>2031</v>
          </cell>
          <cell r="X9">
            <v>2032</v>
          </cell>
          <cell r="Y9">
            <v>2033</v>
          </cell>
          <cell r="Z9">
            <v>2034</v>
          </cell>
          <cell r="AA9">
            <v>2035</v>
          </cell>
          <cell r="AB9">
            <v>2036</v>
          </cell>
          <cell r="AC9">
            <v>2037</v>
          </cell>
          <cell r="AD9">
            <v>2038</v>
          </cell>
          <cell r="AE9">
            <v>2039</v>
          </cell>
          <cell r="AF9">
            <v>2040</v>
          </cell>
          <cell r="AG9">
            <v>2041</v>
          </cell>
          <cell r="AH9">
            <v>2042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  <pageSetUpPr fitToPage="1"/>
  </sheetPr>
  <dimension ref="A1:AM250"/>
  <sheetViews>
    <sheetView tabSelected="1" view="pageBreakPreview" zoomScaleNormal="90" zoomScaleSheetLayoutView="100" workbookViewId="0">
      <pane xSplit="4" ySplit="4" topLeftCell="L5" activePane="bottomRight" state="frozen"/>
      <selection pane="topRight" activeCell="F1" sqref="F1"/>
      <selection pane="bottomLeft" activeCell="A10" sqref="A10"/>
      <selection pane="bottomRight" activeCell="M1" sqref="M1:O1"/>
    </sheetView>
  </sheetViews>
  <sheetFormatPr defaultRowHeight="14.25" outlineLevelRow="3" outlineLevelCol="1"/>
  <cols>
    <col min="1" max="1" width="4.25" style="311" hidden="1" customWidth="1" outlineLevel="1"/>
    <col min="2" max="2" width="6.625" style="1" customWidth="1" collapsed="1"/>
    <col min="3" max="3" width="7.25" style="1" hidden="1" customWidth="1"/>
    <col min="4" max="4" width="70.625" style="1" customWidth="1"/>
    <col min="5" max="8" width="14" style="1" hidden="1" customWidth="1" outlineLevel="1"/>
    <col min="9" max="9" width="14" style="1" customWidth="1" collapsed="1"/>
    <col min="10" max="21" width="14" style="1" customWidth="1"/>
    <col min="22" max="38" width="14" style="1" hidden="1" customWidth="1"/>
    <col min="39" max="256" width="9" style="312"/>
    <col min="257" max="257" width="0" style="312" hidden="1" customWidth="1"/>
    <col min="258" max="258" width="6.625" style="312" customWidth="1"/>
    <col min="259" max="259" width="0" style="312" hidden="1" customWidth="1"/>
    <col min="260" max="260" width="70.625" style="312" customWidth="1"/>
    <col min="261" max="294" width="14" style="312" customWidth="1"/>
    <col min="295" max="512" width="9" style="312"/>
    <col min="513" max="513" width="0" style="312" hidden="1" customWidth="1"/>
    <col min="514" max="514" width="6.625" style="312" customWidth="1"/>
    <col min="515" max="515" width="0" style="312" hidden="1" customWidth="1"/>
    <col min="516" max="516" width="70.625" style="312" customWidth="1"/>
    <col min="517" max="550" width="14" style="312" customWidth="1"/>
    <col min="551" max="768" width="9" style="312"/>
    <col min="769" max="769" width="0" style="312" hidden="1" customWidth="1"/>
    <col min="770" max="770" width="6.625" style="312" customWidth="1"/>
    <col min="771" max="771" width="0" style="312" hidden="1" customWidth="1"/>
    <col min="772" max="772" width="70.625" style="312" customWidth="1"/>
    <col min="773" max="806" width="14" style="312" customWidth="1"/>
    <col min="807" max="1024" width="9" style="312"/>
    <col min="1025" max="1025" width="0" style="312" hidden="1" customWidth="1"/>
    <col min="1026" max="1026" width="6.625" style="312" customWidth="1"/>
    <col min="1027" max="1027" width="0" style="312" hidden="1" customWidth="1"/>
    <col min="1028" max="1028" width="70.625" style="312" customWidth="1"/>
    <col min="1029" max="1062" width="14" style="312" customWidth="1"/>
    <col min="1063" max="1280" width="9" style="312"/>
    <col min="1281" max="1281" width="0" style="312" hidden="1" customWidth="1"/>
    <col min="1282" max="1282" width="6.625" style="312" customWidth="1"/>
    <col min="1283" max="1283" width="0" style="312" hidden="1" customWidth="1"/>
    <col min="1284" max="1284" width="70.625" style="312" customWidth="1"/>
    <col min="1285" max="1318" width="14" style="312" customWidth="1"/>
    <col min="1319" max="1536" width="9" style="312"/>
    <col min="1537" max="1537" width="0" style="312" hidden="1" customWidth="1"/>
    <col min="1538" max="1538" width="6.625" style="312" customWidth="1"/>
    <col min="1539" max="1539" width="0" style="312" hidden="1" customWidth="1"/>
    <col min="1540" max="1540" width="70.625" style="312" customWidth="1"/>
    <col min="1541" max="1574" width="14" style="312" customWidth="1"/>
    <col min="1575" max="1792" width="9" style="312"/>
    <col min="1793" max="1793" width="0" style="312" hidden="1" customWidth="1"/>
    <col min="1794" max="1794" width="6.625" style="312" customWidth="1"/>
    <col min="1795" max="1795" width="0" style="312" hidden="1" customWidth="1"/>
    <col min="1796" max="1796" width="70.625" style="312" customWidth="1"/>
    <col min="1797" max="1830" width="14" style="312" customWidth="1"/>
    <col min="1831" max="2048" width="9" style="312"/>
    <col min="2049" max="2049" width="0" style="312" hidden="1" customWidth="1"/>
    <col min="2050" max="2050" width="6.625" style="312" customWidth="1"/>
    <col min="2051" max="2051" width="0" style="312" hidden="1" customWidth="1"/>
    <col min="2052" max="2052" width="70.625" style="312" customWidth="1"/>
    <col min="2053" max="2086" width="14" style="312" customWidth="1"/>
    <col min="2087" max="2304" width="9" style="312"/>
    <col min="2305" max="2305" width="0" style="312" hidden="1" customWidth="1"/>
    <col min="2306" max="2306" width="6.625" style="312" customWidth="1"/>
    <col min="2307" max="2307" width="0" style="312" hidden="1" customWidth="1"/>
    <col min="2308" max="2308" width="70.625" style="312" customWidth="1"/>
    <col min="2309" max="2342" width="14" style="312" customWidth="1"/>
    <col min="2343" max="2560" width="9" style="312"/>
    <col min="2561" max="2561" width="0" style="312" hidden="1" customWidth="1"/>
    <col min="2562" max="2562" width="6.625" style="312" customWidth="1"/>
    <col min="2563" max="2563" width="0" style="312" hidden="1" customWidth="1"/>
    <col min="2564" max="2564" width="70.625" style="312" customWidth="1"/>
    <col min="2565" max="2598" width="14" style="312" customWidth="1"/>
    <col min="2599" max="2816" width="9" style="312"/>
    <col min="2817" max="2817" width="0" style="312" hidden="1" customWidth="1"/>
    <col min="2818" max="2818" width="6.625" style="312" customWidth="1"/>
    <col min="2819" max="2819" width="0" style="312" hidden="1" customWidth="1"/>
    <col min="2820" max="2820" width="70.625" style="312" customWidth="1"/>
    <col min="2821" max="2854" width="14" style="312" customWidth="1"/>
    <col min="2855" max="3072" width="9" style="312"/>
    <col min="3073" max="3073" width="0" style="312" hidden="1" customWidth="1"/>
    <col min="3074" max="3074" width="6.625" style="312" customWidth="1"/>
    <col min="3075" max="3075" width="0" style="312" hidden="1" customWidth="1"/>
    <col min="3076" max="3076" width="70.625" style="312" customWidth="1"/>
    <col min="3077" max="3110" width="14" style="312" customWidth="1"/>
    <col min="3111" max="3328" width="9" style="312"/>
    <col min="3329" max="3329" width="0" style="312" hidden="1" customWidth="1"/>
    <col min="3330" max="3330" width="6.625" style="312" customWidth="1"/>
    <col min="3331" max="3331" width="0" style="312" hidden="1" customWidth="1"/>
    <col min="3332" max="3332" width="70.625" style="312" customWidth="1"/>
    <col min="3333" max="3366" width="14" style="312" customWidth="1"/>
    <col min="3367" max="3584" width="9" style="312"/>
    <col min="3585" max="3585" width="0" style="312" hidden="1" customWidth="1"/>
    <col min="3586" max="3586" width="6.625" style="312" customWidth="1"/>
    <col min="3587" max="3587" width="0" style="312" hidden="1" customWidth="1"/>
    <col min="3588" max="3588" width="70.625" style="312" customWidth="1"/>
    <col min="3589" max="3622" width="14" style="312" customWidth="1"/>
    <col min="3623" max="3840" width="9" style="312"/>
    <col min="3841" max="3841" width="0" style="312" hidden="1" customWidth="1"/>
    <col min="3842" max="3842" width="6.625" style="312" customWidth="1"/>
    <col min="3843" max="3843" width="0" style="312" hidden="1" customWidth="1"/>
    <col min="3844" max="3844" width="70.625" style="312" customWidth="1"/>
    <col min="3845" max="3878" width="14" style="312" customWidth="1"/>
    <col min="3879" max="4096" width="9" style="312"/>
    <col min="4097" max="4097" width="0" style="312" hidden="1" customWidth="1"/>
    <col min="4098" max="4098" width="6.625" style="312" customWidth="1"/>
    <col min="4099" max="4099" width="0" style="312" hidden="1" customWidth="1"/>
    <col min="4100" max="4100" width="70.625" style="312" customWidth="1"/>
    <col min="4101" max="4134" width="14" style="312" customWidth="1"/>
    <col min="4135" max="4352" width="9" style="312"/>
    <col min="4353" max="4353" width="0" style="312" hidden="1" customWidth="1"/>
    <col min="4354" max="4354" width="6.625" style="312" customWidth="1"/>
    <col min="4355" max="4355" width="0" style="312" hidden="1" customWidth="1"/>
    <col min="4356" max="4356" width="70.625" style="312" customWidth="1"/>
    <col min="4357" max="4390" width="14" style="312" customWidth="1"/>
    <col min="4391" max="4608" width="9" style="312"/>
    <col min="4609" max="4609" width="0" style="312" hidden="1" customWidth="1"/>
    <col min="4610" max="4610" width="6.625" style="312" customWidth="1"/>
    <col min="4611" max="4611" width="0" style="312" hidden="1" customWidth="1"/>
    <col min="4612" max="4612" width="70.625" style="312" customWidth="1"/>
    <col min="4613" max="4646" width="14" style="312" customWidth="1"/>
    <col min="4647" max="4864" width="9" style="312"/>
    <col min="4865" max="4865" width="0" style="312" hidden="1" customWidth="1"/>
    <col min="4866" max="4866" width="6.625" style="312" customWidth="1"/>
    <col min="4867" max="4867" width="0" style="312" hidden="1" customWidth="1"/>
    <col min="4868" max="4868" width="70.625" style="312" customWidth="1"/>
    <col min="4869" max="4902" width="14" style="312" customWidth="1"/>
    <col min="4903" max="5120" width="9" style="312"/>
    <col min="5121" max="5121" width="0" style="312" hidden="1" customWidth="1"/>
    <col min="5122" max="5122" width="6.625" style="312" customWidth="1"/>
    <col min="5123" max="5123" width="0" style="312" hidden="1" customWidth="1"/>
    <col min="5124" max="5124" width="70.625" style="312" customWidth="1"/>
    <col min="5125" max="5158" width="14" style="312" customWidth="1"/>
    <col min="5159" max="5376" width="9" style="312"/>
    <col min="5377" max="5377" width="0" style="312" hidden="1" customWidth="1"/>
    <col min="5378" max="5378" width="6.625" style="312" customWidth="1"/>
    <col min="5379" max="5379" width="0" style="312" hidden="1" customWidth="1"/>
    <col min="5380" max="5380" width="70.625" style="312" customWidth="1"/>
    <col min="5381" max="5414" width="14" style="312" customWidth="1"/>
    <col min="5415" max="5632" width="9" style="312"/>
    <col min="5633" max="5633" width="0" style="312" hidden="1" customWidth="1"/>
    <col min="5634" max="5634" width="6.625" style="312" customWidth="1"/>
    <col min="5635" max="5635" width="0" style="312" hidden="1" customWidth="1"/>
    <col min="5636" max="5636" width="70.625" style="312" customWidth="1"/>
    <col min="5637" max="5670" width="14" style="312" customWidth="1"/>
    <col min="5671" max="5888" width="9" style="312"/>
    <col min="5889" max="5889" width="0" style="312" hidden="1" customWidth="1"/>
    <col min="5890" max="5890" width="6.625" style="312" customWidth="1"/>
    <col min="5891" max="5891" width="0" style="312" hidden="1" customWidth="1"/>
    <col min="5892" max="5892" width="70.625" style="312" customWidth="1"/>
    <col min="5893" max="5926" width="14" style="312" customWidth="1"/>
    <col min="5927" max="6144" width="9" style="312"/>
    <col min="6145" max="6145" width="0" style="312" hidden="1" customWidth="1"/>
    <col min="6146" max="6146" width="6.625" style="312" customWidth="1"/>
    <col min="6147" max="6147" width="0" style="312" hidden="1" customWidth="1"/>
    <col min="6148" max="6148" width="70.625" style="312" customWidth="1"/>
    <col min="6149" max="6182" width="14" style="312" customWidth="1"/>
    <col min="6183" max="6400" width="9" style="312"/>
    <col min="6401" max="6401" width="0" style="312" hidden="1" customWidth="1"/>
    <col min="6402" max="6402" width="6.625" style="312" customWidth="1"/>
    <col min="6403" max="6403" width="0" style="312" hidden="1" customWidth="1"/>
    <col min="6404" max="6404" width="70.625" style="312" customWidth="1"/>
    <col min="6405" max="6438" width="14" style="312" customWidth="1"/>
    <col min="6439" max="6656" width="9" style="312"/>
    <col min="6657" max="6657" width="0" style="312" hidden="1" customWidth="1"/>
    <col min="6658" max="6658" width="6.625" style="312" customWidth="1"/>
    <col min="6659" max="6659" width="0" style="312" hidden="1" customWidth="1"/>
    <col min="6660" max="6660" width="70.625" style="312" customWidth="1"/>
    <col min="6661" max="6694" width="14" style="312" customWidth="1"/>
    <col min="6695" max="6912" width="9" style="312"/>
    <col min="6913" max="6913" width="0" style="312" hidden="1" customWidth="1"/>
    <col min="6914" max="6914" width="6.625" style="312" customWidth="1"/>
    <col min="6915" max="6915" width="0" style="312" hidden="1" customWidth="1"/>
    <col min="6916" max="6916" width="70.625" style="312" customWidth="1"/>
    <col min="6917" max="6950" width="14" style="312" customWidth="1"/>
    <col min="6951" max="7168" width="9" style="312"/>
    <col min="7169" max="7169" width="0" style="312" hidden="1" customWidth="1"/>
    <col min="7170" max="7170" width="6.625" style="312" customWidth="1"/>
    <col min="7171" max="7171" width="0" style="312" hidden="1" customWidth="1"/>
    <col min="7172" max="7172" width="70.625" style="312" customWidth="1"/>
    <col min="7173" max="7206" width="14" style="312" customWidth="1"/>
    <col min="7207" max="7424" width="9" style="312"/>
    <col min="7425" max="7425" width="0" style="312" hidden="1" customWidth="1"/>
    <col min="7426" max="7426" width="6.625" style="312" customWidth="1"/>
    <col min="7427" max="7427" width="0" style="312" hidden="1" customWidth="1"/>
    <col min="7428" max="7428" width="70.625" style="312" customWidth="1"/>
    <col min="7429" max="7462" width="14" style="312" customWidth="1"/>
    <col min="7463" max="7680" width="9" style="312"/>
    <col min="7681" max="7681" width="0" style="312" hidden="1" customWidth="1"/>
    <col min="7682" max="7682" width="6.625" style="312" customWidth="1"/>
    <col min="7683" max="7683" width="0" style="312" hidden="1" customWidth="1"/>
    <col min="7684" max="7684" width="70.625" style="312" customWidth="1"/>
    <col min="7685" max="7718" width="14" style="312" customWidth="1"/>
    <col min="7719" max="7936" width="9" style="312"/>
    <col min="7937" max="7937" width="0" style="312" hidden="1" customWidth="1"/>
    <col min="7938" max="7938" width="6.625" style="312" customWidth="1"/>
    <col min="7939" max="7939" width="0" style="312" hidden="1" customWidth="1"/>
    <col min="7940" max="7940" width="70.625" style="312" customWidth="1"/>
    <col min="7941" max="7974" width="14" style="312" customWidth="1"/>
    <col min="7975" max="8192" width="9" style="312"/>
    <col min="8193" max="8193" width="0" style="312" hidden="1" customWidth="1"/>
    <col min="8194" max="8194" width="6.625" style="312" customWidth="1"/>
    <col min="8195" max="8195" width="0" style="312" hidden="1" customWidth="1"/>
    <col min="8196" max="8196" width="70.625" style="312" customWidth="1"/>
    <col min="8197" max="8230" width="14" style="312" customWidth="1"/>
    <col min="8231" max="8448" width="9" style="312"/>
    <col min="8449" max="8449" width="0" style="312" hidden="1" customWidth="1"/>
    <col min="8450" max="8450" width="6.625" style="312" customWidth="1"/>
    <col min="8451" max="8451" width="0" style="312" hidden="1" customWidth="1"/>
    <col min="8452" max="8452" width="70.625" style="312" customWidth="1"/>
    <col min="8453" max="8486" width="14" style="312" customWidth="1"/>
    <col min="8487" max="8704" width="9" style="312"/>
    <col min="8705" max="8705" width="0" style="312" hidden="1" customWidth="1"/>
    <col min="8706" max="8706" width="6.625" style="312" customWidth="1"/>
    <col min="8707" max="8707" width="0" style="312" hidden="1" customWidth="1"/>
    <col min="8708" max="8708" width="70.625" style="312" customWidth="1"/>
    <col min="8709" max="8742" width="14" style="312" customWidth="1"/>
    <col min="8743" max="8960" width="9" style="312"/>
    <col min="8961" max="8961" width="0" style="312" hidden="1" customWidth="1"/>
    <col min="8962" max="8962" width="6.625" style="312" customWidth="1"/>
    <col min="8963" max="8963" width="0" style="312" hidden="1" customWidth="1"/>
    <col min="8964" max="8964" width="70.625" style="312" customWidth="1"/>
    <col min="8965" max="8998" width="14" style="312" customWidth="1"/>
    <col min="8999" max="9216" width="9" style="312"/>
    <col min="9217" max="9217" width="0" style="312" hidden="1" customWidth="1"/>
    <col min="9218" max="9218" width="6.625" style="312" customWidth="1"/>
    <col min="9219" max="9219" width="0" style="312" hidden="1" customWidth="1"/>
    <col min="9220" max="9220" width="70.625" style="312" customWidth="1"/>
    <col min="9221" max="9254" width="14" style="312" customWidth="1"/>
    <col min="9255" max="9472" width="9" style="312"/>
    <col min="9473" max="9473" width="0" style="312" hidden="1" customWidth="1"/>
    <col min="9474" max="9474" width="6.625" style="312" customWidth="1"/>
    <col min="9475" max="9475" width="0" style="312" hidden="1" customWidth="1"/>
    <col min="9476" max="9476" width="70.625" style="312" customWidth="1"/>
    <col min="9477" max="9510" width="14" style="312" customWidth="1"/>
    <col min="9511" max="9728" width="9" style="312"/>
    <col min="9729" max="9729" width="0" style="312" hidden="1" customWidth="1"/>
    <col min="9730" max="9730" width="6.625" style="312" customWidth="1"/>
    <col min="9731" max="9731" width="0" style="312" hidden="1" customWidth="1"/>
    <col min="9732" max="9732" width="70.625" style="312" customWidth="1"/>
    <col min="9733" max="9766" width="14" style="312" customWidth="1"/>
    <col min="9767" max="9984" width="9" style="312"/>
    <col min="9985" max="9985" width="0" style="312" hidden="1" customWidth="1"/>
    <col min="9986" max="9986" width="6.625" style="312" customWidth="1"/>
    <col min="9987" max="9987" width="0" style="312" hidden="1" customWidth="1"/>
    <col min="9988" max="9988" width="70.625" style="312" customWidth="1"/>
    <col min="9989" max="10022" width="14" style="312" customWidth="1"/>
    <col min="10023" max="10240" width="9" style="312"/>
    <col min="10241" max="10241" width="0" style="312" hidden="1" customWidth="1"/>
    <col min="10242" max="10242" width="6.625" style="312" customWidth="1"/>
    <col min="10243" max="10243" width="0" style="312" hidden="1" customWidth="1"/>
    <col min="10244" max="10244" width="70.625" style="312" customWidth="1"/>
    <col min="10245" max="10278" width="14" style="312" customWidth="1"/>
    <col min="10279" max="10496" width="9" style="312"/>
    <col min="10497" max="10497" width="0" style="312" hidden="1" customWidth="1"/>
    <col min="10498" max="10498" width="6.625" style="312" customWidth="1"/>
    <col min="10499" max="10499" width="0" style="312" hidden="1" customWidth="1"/>
    <col min="10500" max="10500" width="70.625" style="312" customWidth="1"/>
    <col min="10501" max="10534" width="14" style="312" customWidth="1"/>
    <col min="10535" max="10752" width="9" style="312"/>
    <col min="10753" max="10753" width="0" style="312" hidden="1" customWidth="1"/>
    <col min="10754" max="10754" width="6.625" style="312" customWidth="1"/>
    <col min="10755" max="10755" width="0" style="312" hidden="1" customWidth="1"/>
    <col min="10756" max="10756" width="70.625" style="312" customWidth="1"/>
    <col min="10757" max="10790" width="14" style="312" customWidth="1"/>
    <col min="10791" max="11008" width="9" style="312"/>
    <col min="11009" max="11009" width="0" style="312" hidden="1" customWidth="1"/>
    <col min="11010" max="11010" width="6.625" style="312" customWidth="1"/>
    <col min="11011" max="11011" width="0" style="312" hidden="1" customWidth="1"/>
    <col min="11012" max="11012" width="70.625" style="312" customWidth="1"/>
    <col min="11013" max="11046" width="14" style="312" customWidth="1"/>
    <col min="11047" max="11264" width="9" style="312"/>
    <col min="11265" max="11265" width="0" style="312" hidden="1" customWidth="1"/>
    <col min="11266" max="11266" width="6.625" style="312" customWidth="1"/>
    <col min="11267" max="11267" width="0" style="312" hidden="1" customWidth="1"/>
    <col min="11268" max="11268" width="70.625" style="312" customWidth="1"/>
    <col min="11269" max="11302" width="14" style="312" customWidth="1"/>
    <col min="11303" max="11520" width="9" style="312"/>
    <col min="11521" max="11521" width="0" style="312" hidden="1" customWidth="1"/>
    <col min="11522" max="11522" width="6.625" style="312" customWidth="1"/>
    <col min="11523" max="11523" width="0" style="312" hidden="1" customWidth="1"/>
    <col min="11524" max="11524" width="70.625" style="312" customWidth="1"/>
    <col min="11525" max="11558" width="14" style="312" customWidth="1"/>
    <col min="11559" max="11776" width="9" style="312"/>
    <col min="11777" max="11777" width="0" style="312" hidden="1" customWidth="1"/>
    <col min="11778" max="11778" width="6.625" style="312" customWidth="1"/>
    <col min="11779" max="11779" width="0" style="312" hidden="1" customWidth="1"/>
    <col min="11780" max="11780" width="70.625" style="312" customWidth="1"/>
    <col min="11781" max="11814" width="14" style="312" customWidth="1"/>
    <col min="11815" max="12032" width="9" style="312"/>
    <col min="12033" max="12033" width="0" style="312" hidden="1" customWidth="1"/>
    <col min="12034" max="12034" width="6.625" style="312" customWidth="1"/>
    <col min="12035" max="12035" width="0" style="312" hidden="1" customWidth="1"/>
    <col min="12036" max="12036" width="70.625" style="312" customWidth="1"/>
    <col min="12037" max="12070" width="14" style="312" customWidth="1"/>
    <col min="12071" max="12288" width="9" style="312"/>
    <col min="12289" max="12289" width="0" style="312" hidden="1" customWidth="1"/>
    <col min="12290" max="12290" width="6.625" style="312" customWidth="1"/>
    <col min="12291" max="12291" width="0" style="312" hidden="1" customWidth="1"/>
    <col min="12292" max="12292" width="70.625" style="312" customWidth="1"/>
    <col min="12293" max="12326" width="14" style="312" customWidth="1"/>
    <col min="12327" max="12544" width="9" style="312"/>
    <col min="12545" max="12545" width="0" style="312" hidden="1" customWidth="1"/>
    <col min="12546" max="12546" width="6.625" style="312" customWidth="1"/>
    <col min="12547" max="12547" width="0" style="312" hidden="1" customWidth="1"/>
    <col min="12548" max="12548" width="70.625" style="312" customWidth="1"/>
    <col min="12549" max="12582" width="14" style="312" customWidth="1"/>
    <col min="12583" max="12800" width="9" style="312"/>
    <col min="12801" max="12801" width="0" style="312" hidden="1" customWidth="1"/>
    <col min="12802" max="12802" width="6.625" style="312" customWidth="1"/>
    <col min="12803" max="12803" width="0" style="312" hidden="1" customWidth="1"/>
    <col min="12804" max="12804" width="70.625" style="312" customWidth="1"/>
    <col min="12805" max="12838" width="14" style="312" customWidth="1"/>
    <col min="12839" max="13056" width="9" style="312"/>
    <col min="13057" max="13057" width="0" style="312" hidden="1" customWidth="1"/>
    <col min="13058" max="13058" width="6.625" style="312" customWidth="1"/>
    <col min="13059" max="13059" width="0" style="312" hidden="1" customWidth="1"/>
    <col min="13060" max="13060" width="70.625" style="312" customWidth="1"/>
    <col min="13061" max="13094" width="14" style="312" customWidth="1"/>
    <col min="13095" max="13312" width="9" style="312"/>
    <col min="13313" max="13313" width="0" style="312" hidden="1" customWidth="1"/>
    <col min="13314" max="13314" width="6.625" style="312" customWidth="1"/>
    <col min="13315" max="13315" width="0" style="312" hidden="1" customWidth="1"/>
    <col min="13316" max="13316" width="70.625" style="312" customWidth="1"/>
    <col min="13317" max="13350" width="14" style="312" customWidth="1"/>
    <col min="13351" max="13568" width="9" style="312"/>
    <col min="13569" max="13569" width="0" style="312" hidden="1" customWidth="1"/>
    <col min="13570" max="13570" width="6.625" style="312" customWidth="1"/>
    <col min="13571" max="13571" width="0" style="312" hidden="1" customWidth="1"/>
    <col min="13572" max="13572" width="70.625" style="312" customWidth="1"/>
    <col min="13573" max="13606" width="14" style="312" customWidth="1"/>
    <col min="13607" max="13824" width="9" style="312"/>
    <col min="13825" max="13825" width="0" style="312" hidden="1" customWidth="1"/>
    <col min="13826" max="13826" width="6.625" style="312" customWidth="1"/>
    <col min="13827" max="13827" width="0" style="312" hidden="1" customWidth="1"/>
    <col min="13828" max="13828" width="70.625" style="312" customWidth="1"/>
    <col min="13829" max="13862" width="14" style="312" customWidth="1"/>
    <col min="13863" max="14080" width="9" style="312"/>
    <col min="14081" max="14081" width="0" style="312" hidden="1" customWidth="1"/>
    <col min="14082" max="14082" width="6.625" style="312" customWidth="1"/>
    <col min="14083" max="14083" width="0" style="312" hidden="1" customWidth="1"/>
    <col min="14084" max="14084" width="70.625" style="312" customWidth="1"/>
    <col min="14085" max="14118" width="14" style="312" customWidth="1"/>
    <col min="14119" max="14336" width="9" style="312"/>
    <col min="14337" max="14337" width="0" style="312" hidden="1" customWidth="1"/>
    <col min="14338" max="14338" width="6.625" style="312" customWidth="1"/>
    <col min="14339" max="14339" width="0" style="312" hidden="1" customWidth="1"/>
    <col min="14340" max="14340" width="70.625" style="312" customWidth="1"/>
    <col min="14341" max="14374" width="14" style="312" customWidth="1"/>
    <col min="14375" max="14592" width="9" style="312"/>
    <col min="14593" max="14593" width="0" style="312" hidden="1" customWidth="1"/>
    <col min="14594" max="14594" width="6.625" style="312" customWidth="1"/>
    <col min="14595" max="14595" width="0" style="312" hidden="1" customWidth="1"/>
    <col min="14596" max="14596" width="70.625" style="312" customWidth="1"/>
    <col min="14597" max="14630" width="14" style="312" customWidth="1"/>
    <col min="14631" max="14848" width="9" style="312"/>
    <col min="14849" max="14849" width="0" style="312" hidden="1" customWidth="1"/>
    <col min="14850" max="14850" width="6.625" style="312" customWidth="1"/>
    <col min="14851" max="14851" width="0" style="312" hidden="1" customWidth="1"/>
    <col min="14852" max="14852" width="70.625" style="312" customWidth="1"/>
    <col min="14853" max="14886" width="14" style="312" customWidth="1"/>
    <col min="14887" max="15104" width="9" style="312"/>
    <col min="15105" max="15105" width="0" style="312" hidden="1" customWidth="1"/>
    <col min="15106" max="15106" width="6.625" style="312" customWidth="1"/>
    <col min="15107" max="15107" width="0" style="312" hidden="1" customWidth="1"/>
    <col min="15108" max="15108" width="70.625" style="312" customWidth="1"/>
    <col min="15109" max="15142" width="14" style="312" customWidth="1"/>
    <col min="15143" max="15360" width="9" style="312"/>
    <col min="15361" max="15361" width="0" style="312" hidden="1" customWidth="1"/>
    <col min="15362" max="15362" width="6.625" style="312" customWidth="1"/>
    <col min="15363" max="15363" width="0" style="312" hidden="1" customWidth="1"/>
    <col min="15364" max="15364" width="70.625" style="312" customWidth="1"/>
    <col min="15365" max="15398" width="14" style="312" customWidth="1"/>
    <col min="15399" max="15616" width="9" style="312"/>
    <col min="15617" max="15617" width="0" style="312" hidden="1" customWidth="1"/>
    <col min="15618" max="15618" width="6.625" style="312" customWidth="1"/>
    <col min="15619" max="15619" width="0" style="312" hidden="1" customWidth="1"/>
    <col min="15620" max="15620" width="70.625" style="312" customWidth="1"/>
    <col min="15621" max="15654" width="14" style="312" customWidth="1"/>
    <col min="15655" max="15872" width="9" style="312"/>
    <col min="15873" max="15873" width="0" style="312" hidden="1" customWidth="1"/>
    <col min="15874" max="15874" width="6.625" style="312" customWidth="1"/>
    <col min="15875" max="15875" width="0" style="312" hidden="1" customWidth="1"/>
    <col min="15876" max="15876" width="70.625" style="312" customWidth="1"/>
    <col min="15877" max="15910" width="14" style="312" customWidth="1"/>
    <col min="15911" max="16128" width="9" style="312"/>
    <col min="16129" max="16129" width="0" style="312" hidden="1" customWidth="1"/>
    <col min="16130" max="16130" width="6.625" style="312" customWidth="1"/>
    <col min="16131" max="16131" width="0" style="312" hidden="1" customWidth="1"/>
    <col min="16132" max="16132" width="70.625" style="312" customWidth="1"/>
    <col min="16133" max="16166" width="14" style="312" customWidth="1"/>
    <col min="16167" max="16384" width="9" style="312"/>
  </cols>
  <sheetData>
    <row r="1" spans="1:39" ht="57" customHeight="1">
      <c r="B1" s="318"/>
      <c r="C1" s="318"/>
      <c r="D1" s="315"/>
      <c r="E1" s="315"/>
      <c r="F1" s="313"/>
      <c r="G1" s="313"/>
      <c r="H1" s="313"/>
      <c r="I1" s="313"/>
      <c r="J1" s="313"/>
      <c r="K1" s="313"/>
      <c r="L1" s="313"/>
      <c r="M1" s="319" t="s">
        <v>342</v>
      </c>
      <c r="N1" s="320"/>
      <c r="O1" s="320"/>
      <c r="P1" s="312"/>
    </row>
    <row r="2" spans="1:39" ht="19.5" customHeight="1">
      <c r="B2" s="321" t="s">
        <v>341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39" ht="15.75">
      <c r="B3" s="307"/>
      <c r="C3" s="307"/>
      <c r="D3" s="310"/>
      <c r="E3" s="317" t="s">
        <v>339</v>
      </c>
      <c r="F3" s="317"/>
      <c r="G3" s="314" t="s">
        <v>340</v>
      </c>
      <c r="H3" s="314" t="s">
        <v>339</v>
      </c>
      <c r="I3" s="309" t="str">
        <f>""</f>
        <v/>
      </c>
      <c r="J3" s="308"/>
      <c r="K3" s="308"/>
      <c r="L3" s="308"/>
      <c r="M3" s="308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232"/>
    </row>
    <row r="4" spans="1:39">
      <c r="A4" s="306" t="s">
        <v>338</v>
      </c>
      <c r="B4" s="305" t="s">
        <v>337</v>
      </c>
      <c r="C4" s="304"/>
      <c r="D4" s="303" t="s">
        <v>336</v>
      </c>
      <c r="E4" s="302" t="s">
        <v>335</v>
      </c>
      <c r="F4" s="301" t="s">
        <v>334</v>
      </c>
      <c r="G4" s="301" t="s">
        <v>333</v>
      </c>
      <c r="H4" s="300" t="s">
        <v>333</v>
      </c>
      <c r="I4" s="299">
        <f>+[1]definicja!E9</f>
        <v>2013</v>
      </c>
      <c r="J4" s="298">
        <f>+[1]definicja!F9</f>
        <v>2014</v>
      </c>
      <c r="K4" s="298">
        <f>+[1]definicja!G9</f>
        <v>2015</v>
      </c>
      <c r="L4" s="298">
        <f>+[1]definicja!H9</f>
        <v>2016</v>
      </c>
      <c r="M4" s="298">
        <f>+[1]definicja!I9</f>
        <v>2017</v>
      </c>
      <c r="N4" s="298">
        <f>+[1]definicja!J9</f>
        <v>2018</v>
      </c>
      <c r="O4" s="298">
        <f>+[1]definicja!K9</f>
        <v>2019</v>
      </c>
      <c r="P4" s="298">
        <f>+[1]definicja!L9</f>
        <v>2020</v>
      </c>
      <c r="Q4" s="298">
        <f>+[1]definicja!M9</f>
        <v>2021</v>
      </c>
      <c r="R4" s="298">
        <f>+[1]definicja!N9</f>
        <v>2022</v>
      </c>
      <c r="S4" s="298">
        <f>+[1]definicja!O9</f>
        <v>2023</v>
      </c>
      <c r="T4" s="298">
        <f>+[1]definicja!P9</f>
        <v>2024</v>
      </c>
      <c r="U4" s="298">
        <f>+[1]definicja!Q9</f>
        <v>2025</v>
      </c>
      <c r="V4" s="298">
        <f>+[1]definicja!R9</f>
        <v>2026</v>
      </c>
      <c r="W4" s="298">
        <f>+[1]definicja!S9</f>
        <v>2027</v>
      </c>
      <c r="X4" s="298">
        <f>+[1]definicja!T9</f>
        <v>2028</v>
      </c>
      <c r="Y4" s="298">
        <f>+[1]definicja!U9</f>
        <v>2029</v>
      </c>
      <c r="Z4" s="298">
        <f>+[1]definicja!V9</f>
        <v>2030</v>
      </c>
      <c r="AA4" s="298">
        <f>+[1]definicja!W9</f>
        <v>2031</v>
      </c>
      <c r="AB4" s="298">
        <f>+[1]definicja!X9</f>
        <v>2032</v>
      </c>
      <c r="AC4" s="298">
        <f>+[1]definicja!Y9</f>
        <v>2033</v>
      </c>
      <c r="AD4" s="298">
        <f>+[1]definicja!Z9</f>
        <v>2034</v>
      </c>
      <c r="AE4" s="298">
        <f>+[1]definicja!AA9</f>
        <v>2035</v>
      </c>
      <c r="AF4" s="298">
        <f>+[1]definicja!AB9</f>
        <v>2036</v>
      </c>
      <c r="AG4" s="298">
        <f>+[1]definicja!AC9</f>
        <v>2037</v>
      </c>
      <c r="AH4" s="298">
        <f>+[1]definicja!AD9</f>
        <v>2038</v>
      </c>
      <c r="AI4" s="298">
        <f>+[1]definicja!AE9</f>
        <v>2039</v>
      </c>
      <c r="AJ4" s="298">
        <f>+[1]definicja!AF9</f>
        <v>2040</v>
      </c>
      <c r="AK4" s="298">
        <f>+[1]definicja!AG9</f>
        <v>2041</v>
      </c>
      <c r="AL4" s="297">
        <f>+[1]definicja!AH9</f>
        <v>2042</v>
      </c>
      <c r="AM4" s="296"/>
    </row>
    <row r="5" spans="1:39" ht="15" customHeight="1" outlineLevel="1">
      <c r="A5" s="311" t="s">
        <v>39</v>
      </c>
      <c r="B5" s="273">
        <v>1</v>
      </c>
      <c r="C5" s="272"/>
      <c r="D5" s="271" t="s">
        <v>18</v>
      </c>
      <c r="E5" s="281">
        <f>16360657.9</f>
        <v>16360657.9</v>
      </c>
      <c r="F5" s="280">
        <f>15865865.16</f>
        <v>15865865.16</v>
      </c>
      <c r="G5" s="280">
        <f>18420868.92</f>
        <v>18420868.920000002</v>
      </c>
      <c r="H5" s="279">
        <f>18510610.4</f>
        <v>18510610.399999999</v>
      </c>
      <c r="I5" s="278">
        <f>18901944</f>
        <v>18901944</v>
      </c>
      <c r="J5" s="277">
        <f>18778000</f>
        <v>18778000</v>
      </c>
      <c r="K5" s="277">
        <f>17100000</f>
        <v>17100000</v>
      </c>
      <c r="L5" s="277">
        <f>17043950</f>
        <v>17043950</v>
      </c>
      <c r="M5" s="277">
        <f>17237269</f>
        <v>17237269</v>
      </c>
      <c r="N5" s="277">
        <f>17745387</f>
        <v>17745387</v>
      </c>
      <c r="O5" s="277">
        <f>18268748</f>
        <v>18268748</v>
      </c>
      <c r="P5" s="277">
        <f>18807811</f>
        <v>18807811</v>
      </c>
      <c r="Q5" s="277">
        <f>19363045</f>
        <v>19363045</v>
      </c>
      <c r="R5" s="277">
        <f>19934936</f>
        <v>19934936</v>
      </c>
      <c r="S5" s="277">
        <f>20523984</f>
        <v>20523984</v>
      </c>
      <c r="T5" s="277">
        <f>21130704</f>
        <v>21130704</v>
      </c>
      <c r="U5" s="277">
        <f>21755625</f>
        <v>21755625</v>
      </c>
      <c r="V5" s="277">
        <f>0</f>
        <v>0</v>
      </c>
      <c r="W5" s="277">
        <f>0</f>
        <v>0</v>
      </c>
      <c r="X5" s="277">
        <f>0</f>
        <v>0</v>
      </c>
      <c r="Y5" s="277">
        <f>0</f>
        <v>0</v>
      </c>
      <c r="Z5" s="277">
        <f>0</f>
        <v>0</v>
      </c>
      <c r="AA5" s="277">
        <f>0</f>
        <v>0</v>
      </c>
      <c r="AB5" s="277">
        <f>0</f>
        <v>0</v>
      </c>
      <c r="AC5" s="277">
        <f>0</f>
        <v>0</v>
      </c>
      <c r="AD5" s="277">
        <f>0</f>
        <v>0</v>
      </c>
      <c r="AE5" s="277">
        <f>0</f>
        <v>0</v>
      </c>
      <c r="AF5" s="277">
        <f>0</f>
        <v>0</v>
      </c>
      <c r="AG5" s="277">
        <f>0</f>
        <v>0</v>
      </c>
      <c r="AH5" s="277">
        <f>0</f>
        <v>0</v>
      </c>
      <c r="AI5" s="277">
        <f>0</f>
        <v>0</v>
      </c>
      <c r="AJ5" s="277">
        <f>0</f>
        <v>0</v>
      </c>
      <c r="AK5" s="277">
        <f>0</f>
        <v>0</v>
      </c>
      <c r="AL5" s="276">
        <f>0</f>
        <v>0</v>
      </c>
      <c r="AM5" s="30"/>
    </row>
    <row r="6" spans="1:39" ht="15" customHeight="1" outlineLevel="2">
      <c r="A6" s="311" t="s">
        <v>39</v>
      </c>
      <c r="B6" s="263" t="s">
        <v>332</v>
      </c>
      <c r="C6" s="262"/>
      <c r="D6" s="264" t="s">
        <v>17</v>
      </c>
      <c r="E6" s="260">
        <f>13328461.31</f>
        <v>13328461.310000001</v>
      </c>
      <c r="F6" s="259">
        <f>14133461.96</f>
        <v>14133461.960000001</v>
      </c>
      <c r="G6" s="259">
        <f>15732874.92</f>
        <v>15732874.92</v>
      </c>
      <c r="H6" s="258">
        <f>15979638.24</f>
        <v>15979638.24</v>
      </c>
      <c r="I6" s="257">
        <f>15743944</f>
        <v>15743944</v>
      </c>
      <c r="J6" s="256">
        <f>16000000</f>
        <v>16000000</v>
      </c>
      <c r="K6" s="256">
        <f>16800000</f>
        <v>16800000</v>
      </c>
      <c r="L6" s="256">
        <f>16743950</f>
        <v>16743950</v>
      </c>
      <c r="M6" s="256">
        <f>16937269</f>
        <v>16937269</v>
      </c>
      <c r="N6" s="256">
        <f>17445387</f>
        <v>17445387</v>
      </c>
      <c r="O6" s="256">
        <f>17968748</f>
        <v>17968748</v>
      </c>
      <c r="P6" s="256">
        <f>18507811</f>
        <v>18507811</v>
      </c>
      <c r="Q6" s="256">
        <f>19063045</f>
        <v>19063045</v>
      </c>
      <c r="R6" s="256">
        <f>19634936</f>
        <v>19634936</v>
      </c>
      <c r="S6" s="256">
        <f>20223984</f>
        <v>20223984</v>
      </c>
      <c r="T6" s="256">
        <f>20830704</f>
        <v>20830704</v>
      </c>
      <c r="U6" s="256">
        <f>21455625</f>
        <v>21455625</v>
      </c>
      <c r="V6" s="256">
        <f>0</f>
        <v>0</v>
      </c>
      <c r="W6" s="256">
        <f>0</f>
        <v>0</v>
      </c>
      <c r="X6" s="256">
        <f>0</f>
        <v>0</v>
      </c>
      <c r="Y6" s="256">
        <f>0</f>
        <v>0</v>
      </c>
      <c r="Z6" s="256">
        <f>0</f>
        <v>0</v>
      </c>
      <c r="AA6" s="256">
        <f>0</f>
        <v>0</v>
      </c>
      <c r="AB6" s="256">
        <f>0</f>
        <v>0</v>
      </c>
      <c r="AC6" s="256">
        <f>0</f>
        <v>0</v>
      </c>
      <c r="AD6" s="256">
        <f>0</f>
        <v>0</v>
      </c>
      <c r="AE6" s="256">
        <f>0</f>
        <v>0</v>
      </c>
      <c r="AF6" s="256">
        <f>0</f>
        <v>0</v>
      </c>
      <c r="AG6" s="256">
        <f>0</f>
        <v>0</v>
      </c>
      <c r="AH6" s="256">
        <f>0</f>
        <v>0</v>
      </c>
      <c r="AI6" s="256">
        <f>0</f>
        <v>0</v>
      </c>
      <c r="AJ6" s="256">
        <f>0</f>
        <v>0</v>
      </c>
      <c r="AK6" s="256">
        <f>0</f>
        <v>0</v>
      </c>
      <c r="AL6" s="255">
        <f>0</f>
        <v>0</v>
      </c>
    </row>
    <row r="7" spans="1:39" ht="15" customHeight="1" outlineLevel="3">
      <c r="B7" s="263" t="s">
        <v>331</v>
      </c>
      <c r="C7" s="262"/>
      <c r="D7" s="261" t="s">
        <v>330</v>
      </c>
      <c r="E7" s="260">
        <f>1009425</f>
        <v>1009425</v>
      </c>
      <c r="F7" s="259">
        <f>1249390</f>
        <v>1249390</v>
      </c>
      <c r="G7" s="259">
        <f>0</f>
        <v>0</v>
      </c>
      <c r="H7" s="258">
        <f>1312222</f>
        <v>1312222</v>
      </c>
      <c r="I7" s="257">
        <f>1464627</f>
        <v>1464627</v>
      </c>
      <c r="J7" s="256">
        <f>1488000</f>
        <v>1488000</v>
      </c>
      <c r="K7" s="256">
        <f>1562000</f>
        <v>1562000</v>
      </c>
      <c r="L7" s="256">
        <f>1562000</f>
        <v>1562000</v>
      </c>
      <c r="M7" s="256">
        <f>1575000</f>
        <v>1575000</v>
      </c>
      <c r="N7" s="256">
        <f>1622000</f>
        <v>1622000</v>
      </c>
      <c r="O7" s="256">
        <f>1671000</f>
        <v>1671000</v>
      </c>
      <c r="P7" s="256">
        <f>1721000</f>
        <v>1721000</v>
      </c>
      <c r="Q7" s="256">
        <f>1773000</f>
        <v>1773000</v>
      </c>
      <c r="R7" s="256">
        <f>1826000</f>
        <v>1826000</v>
      </c>
      <c r="S7" s="256">
        <f>1881000</f>
        <v>1881000</v>
      </c>
      <c r="T7" s="256">
        <f>1937000</f>
        <v>1937000</v>
      </c>
      <c r="U7" s="256">
        <f>1995000</f>
        <v>1995000</v>
      </c>
      <c r="V7" s="256">
        <f>0</f>
        <v>0</v>
      </c>
      <c r="W7" s="256">
        <f>0</f>
        <v>0</v>
      </c>
      <c r="X7" s="256">
        <f>0</f>
        <v>0</v>
      </c>
      <c r="Y7" s="256">
        <f>0</f>
        <v>0</v>
      </c>
      <c r="Z7" s="256">
        <f>0</f>
        <v>0</v>
      </c>
      <c r="AA7" s="256">
        <f>0</f>
        <v>0</v>
      </c>
      <c r="AB7" s="256">
        <f>0</f>
        <v>0</v>
      </c>
      <c r="AC7" s="256">
        <f>0</f>
        <v>0</v>
      </c>
      <c r="AD7" s="256">
        <f>0</f>
        <v>0</v>
      </c>
      <c r="AE7" s="256">
        <f>0</f>
        <v>0</v>
      </c>
      <c r="AF7" s="256">
        <f>0</f>
        <v>0</v>
      </c>
      <c r="AG7" s="256">
        <f>0</f>
        <v>0</v>
      </c>
      <c r="AH7" s="256">
        <f>0</f>
        <v>0</v>
      </c>
      <c r="AI7" s="256">
        <f>0</f>
        <v>0</v>
      </c>
      <c r="AJ7" s="256">
        <f>0</f>
        <v>0</v>
      </c>
      <c r="AK7" s="256">
        <f>0</f>
        <v>0</v>
      </c>
      <c r="AL7" s="255">
        <f>0</f>
        <v>0</v>
      </c>
    </row>
    <row r="8" spans="1:39" ht="15" customHeight="1" outlineLevel="3">
      <c r="B8" s="263" t="s">
        <v>329</v>
      </c>
      <c r="C8" s="262"/>
      <c r="D8" s="261" t="s">
        <v>328</v>
      </c>
      <c r="E8" s="260">
        <f>9251.58</f>
        <v>9251.58</v>
      </c>
      <c r="F8" s="259">
        <f>8263.09</f>
        <v>8263.09</v>
      </c>
      <c r="G8" s="259">
        <f>0</f>
        <v>0</v>
      </c>
      <c r="H8" s="258">
        <f>11877.15</f>
        <v>11877.15</v>
      </c>
      <c r="I8" s="257">
        <f>5000</f>
        <v>5000</v>
      </c>
      <c r="J8" s="256">
        <f>6000</f>
        <v>6000</v>
      </c>
      <c r="K8" s="256">
        <f>7000</f>
        <v>7000</v>
      </c>
      <c r="L8" s="256">
        <f>7000</f>
        <v>7000</v>
      </c>
      <c r="M8" s="256">
        <f>8000</f>
        <v>8000</v>
      </c>
      <c r="N8" s="256">
        <f>9000</f>
        <v>9000</v>
      </c>
      <c r="O8" s="256">
        <f>10000</f>
        <v>10000</v>
      </c>
      <c r="P8" s="256">
        <f>11000</f>
        <v>11000</v>
      </c>
      <c r="Q8" s="256">
        <f>12000</f>
        <v>12000</v>
      </c>
      <c r="R8" s="256">
        <f>13000</f>
        <v>13000</v>
      </c>
      <c r="S8" s="256">
        <f>14000</f>
        <v>14000</v>
      </c>
      <c r="T8" s="256">
        <f>15000</f>
        <v>15000</v>
      </c>
      <c r="U8" s="256">
        <f>16000</f>
        <v>16000</v>
      </c>
      <c r="V8" s="256">
        <f>0</f>
        <v>0</v>
      </c>
      <c r="W8" s="256">
        <f>0</f>
        <v>0</v>
      </c>
      <c r="X8" s="256">
        <f>0</f>
        <v>0</v>
      </c>
      <c r="Y8" s="256">
        <f>0</f>
        <v>0</v>
      </c>
      <c r="Z8" s="256">
        <f>0</f>
        <v>0</v>
      </c>
      <c r="AA8" s="256">
        <f>0</f>
        <v>0</v>
      </c>
      <c r="AB8" s="256">
        <f>0</f>
        <v>0</v>
      </c>
      <c r="AC8" s="256">
        <f>0</f>
        <v>0</v>
      </c>
      <c r="AD8" s="256">
        <f>0</f>
        <v>0</v>
      </c>
      <c r="AE8" s="256">
        <f>0</f>
        <v>0</v>
      </c>
      <c r="AF8" s="256">
        <f>0</f>
        <v>0</v>
      </c>
      <c r="AG8" s="256">
        <f>0</f>
        <v>0</v>
      </c>
      <c r="AH8" s="256">
        <f>0</f>
        <v>0</v>
      </c>
      <c r="AI8" s="256">
        <f>0</f>
        <v>0</v>
      </c>
      <c r="AJ8" s="256">
        <f>0</f>
        <v>0</v>
      </c>
      <c r="AK8" s="256">
        <f>0</f>
        <v>0</v>
      </c>
      <c r="AL8" s="255">
        <f>0</f>
        <v>0</v>
      </c>
    </row>
    <row r="9" spans="1:39" ht="15" customHeight="1" outlineLevel="3">
      <c r="B9" s="263" t="s">
        <v>327</v>
      </c>
      <c r="C9" s="262"/>
      <c r="D9" s="261" t="s">
        <v>326</v>
      </c>
      <c r="E9" s="260">
        <f>3210835.44</f>
        <v>3210835.44</v>
      </c>
      <c r="F9" s="259">
        <f>3313649.1</f>
        <v>3313649.1</v>
      </c>
      <c r="G9" s="259">
        <f>0</f>
        <v>0</v>
      </c>
      <c r="H9" s="258">
        <f>3971720.7</f>
        <v>3971720.7</v>
      </c>
      <c r="I9" s="257">
        <f>4911346</f>
        <v>4911346</v>
      </c>
      <c r="J9" s="256">
        <f>4991000</f>
        <v>4991000</v>
      </c>
      <c r="K9" s="256">
        <f>5240000</f>
        <v>5240000</v>
      </c>
      <c r="L9" s="256">
        <f>5240000</f>
        <v>5240000</v>
      </c>
      <c r="M9" s="256">
        <f>5283000</f>
        <v>5283000</v>
      </c>
      <c r="N9" s="256">
        <f>5442000</f>
        <v>5442000</v>
      </c>
      <c r="O9" s="256">
        <f>5605000</f>
        <v>5605000</v>
      </c>
      <c r="P9" s="256">
        <f>5773000</f>
        <v>5773000</v>
      </c>
      <c r="Q9" s="256">
        <f>5946000</f>
        <v>5946000</v>
      </c>
      <c r="R9" s="256">
        <f>6125000</f>
        <v>6125000</v>
      </c>
      <c r="S9" s="256">
        <f>6380000</f>
        <v>6380000</v>
      </c>
      <c r="T9" s="256">
        <f>6498000</f>
        <v>6498000</v>
      </c>
      <c r="U9" s="256">
        <f>6693000</f>
        <v>6693000</v>
      </c>
      <c r="V9" s="256">
        <f>0</f>
        <v>0</v>
      </c>
      <c r="W9" s="256">
        <f>0</f>
        <v>0</v>
      </c>
      <c r="X9" s="256">
        <f>0</f>
        <v>0</v>
      </c>
      <c r="Y9" s="256">
        <f>0</f>
        <v>0</v>
      </c>
      <c r="Z9" s="256">
        <f>0</f>
        <v>0</v>
      </c>
      <c r="AA9" s="256">
        <f>0</f>
        <v>0</v>
      </c>
      <c r="AB9" s="256">
        <f>0</f>
        <v>0</v>
      </c>
      <c r="AC9" s="256">
        <f>0</f>
        <v>0</v>
      </c>
      <c r="AD9" s="256">
        <f>0</f>
        <v>0</v>
      </c>
      <c r="AE9" s="256">
        <f>0</f>
        <v>0</v>
      </c>
      <c r="AF9" s="256">
        <f>0</f>
        <v>0</v>
      </c>
      <c r="AG9" s="256">
        <f>0</f>
        <v>0</v>
      </c>
      <c r="AH9" s="256">
        <f>0</f>
        <v>0</v>
      </c>
      <c r="AI9" s="256">
        <f>0</f>
        <v>0</v>
      </c>
      <c r="AJ9" s="256">
        <f>0</f>
        <v>0</v>
      </c>
      <c r="AK9" s="256">
        <f>0</f>
        <v>0</v>
      </c>
      <c r="AL9" s="255">
        <f>0</f>
        <v>0</v>
      </c>
    </row>
    <row r="10" spans="1:39" ht="15" customHeight="1" outlineLevel="3">
      <c r="B10" s="263" t="s">
        <v>325</v>
      </c>
      <c r="C10" s="262"/>
      <c r="D10" s="275" t="s">
        <v>324</v>
      </c>
      <c r="E10" s="260">
        <f>1992817.36</f>
        <v>1992817.36</v>
      </c>
      <c r="F10" s="259">
        <f>1975049.77</f>
        <v>1975049.77</v>
      </c>
      <c r="G10" s="259">
        <f>0</f>
        <v>0</v>
      </c>
      <c r="H10" s="258">
        <f>2196048.63</f>
        <v>2196048.63</v>
      </c>
      <c r="I10" s="257">
        <f>2900000</f>
        <v>2900000</v>
      </c>
      <c r="J10" s="256">
        <f>2950000</f>
        <v>2950000</v>
      </c>
      <c r="K10" s="256">
        <f>3100000</f>
        <v>3100000</v>
      </c>
      <c r="L10" s="256">
        <f>3100000</f>
        <v>3100000</v>
      </c>
      <c r="M10" s="256">
        <f>3130000</f>
        <v>3130000</v>
      </c>
      <c r="N10" s="256">
        <f>3213000</f>
        <v>3213000</v>
      </c>
      <c r="O10" s="256">
        <f>3309000</f>
        <v>3309000</v>
      </c>
      <c r="P10" s="256">
        <f>3409000</f>
        <v>3409000</v>
      </c>
      <c r="Q10" s="256">
        <f>3511000</f>
        <v>3511000</v>
      </c>
      <c r="R10" s="256">
        <f>3616000</f>
        <v>3616000</v>
      </c>
      <c r="S10" s="256">
        <f>3725000</f>
        <v>3725000</v>
      </c>
      <c r="T10" s="256">
        <f>3836000</f>
        <v>3836000</v>
      </c>
      <c r="U10" s="256">
        <f>3952000</f>
        <v>3952000</v>
      </c>
      <c r="V10" s="256">
        <f>0</f>
        <v>0</v>
      </c>
      <c r="W10" s="256">
        <f>0</f>
        <v>0</v>
      </c>
      <c r="X10" s="256">
        <f>0</f>
        <v>0</v>
      </c>
      <c r="Y10" s="256">
        <f>0</f>
        <v>0</v>
      </c>
      <c r="Z10" s="256">
        <f>0</f>
        <v>0</v>
      </c>
      <c r="AA10" s="256">
        <f>0</f>
        <v>0</v>
      </c>
      <c r="AB10" s="256">
        <f>0</f>
        <v>0</v>
      </c>
      <c r="AC10" s="256">
        <f>0</f>
        <v>0</v>
      </c>
      <c r="AD10" s="256">
        <f>0</f>
        <v>0</v>
      </c>
      <c r="AE10" s="256">
        <f>0</f>
        <v>0</v>
      </c>
      <c r="AF10" s="256">
        <f>0</f>
        <v>0</v>
      </c>
      <c r="AG10" s="256">
        <f>0</f>
        <v>0</v>
      </c>
      <c r="AH10" s="256">
        <f>0</f>
        <v>0</v>
      </c>
      <c r="AI10" s="256">
        <f>0</f>
        <v>0</v>
      </c>
      <c r="AJ10" s="256">
        <f>0</f>
        <v>0</v>
      </c>
      <c r="AK10" s="256">
        <f>0</f>
        <v>0</v>
      </c>
      <c r="AL10" s="255">
        <f>0</f>
        <v>0</v>
      </c>
    </row>
    <row r="11" spans="1:39" ht="15" customHeight="1" outlineLevel="3">
      <c r="B11" s="263" t="s">
        <v>323</v>
      </c>
      <c r="C11" s="262"/>
      <c r="D11" s="261" t="s">
        <v>322</v>
      </c>
      <c r="E11" s="260">
        <f>5222259</f>
        <v>5222259</v>
      </c>
      <c r="F11" s="259">
        <f>5334677</f>
        <v>5334677</v>
      </c>
      <c r="G11" s="259">
        <f>0</f>
        <v>0</v>
      </c>
      <c r="H11" s="258">
        <f>5863857</f>
        <v>5863857</v>
      </c>
      <c r="I11" s="257">
        <f>5974046</f>
        <v>5974046</v>
      </c>
      <c r="J11" s="256">
        <f>6071000</f>
        <v>6071000</v>
      </c>
      <c r="K11" s="256">
        <f>6374000</f>
        <v>6374000</v>
      </c>
      <c r="L11" s="256">
        <f>6374000</f>
        <v>6374000</v>
      </c>
      <c r="M11" s="256">
        <f>6426000</f>
        <v>6426000</v>
      </c>
      <c r="N11" s="256">
        <f>6619000</f>
        <v>6619000</v>
      </c>
      <c r="O11" s="256">
        <f>6818000</f>
        <v>6818000</v>
      </c>
      <c r="P11" s="256">
        <f>7022000</f>
        <v>7022000</v>
      </c>
      <c r="Q11" s="256">
        <f>7233000</f>
        <v>7233000</v>
      </c>
      <c r="R11" s="256">
        <f>7450000</f>
        <v>7450000</v>
      </c>
      <c r="S11" s="256">
        <f>7673000</f>
        <v>7673000</v>
      </c>
      <c r="T11" s="256">
        <f>7904000</f>
        <v>7904000</v>
      </c>
      <c r="U11" s="256">
        <f>8141000</f>
        <v>8141000</v>
      </c>
      <c r="V11" s="256">
        <f>0</f>
        <v>0</v>
      </c>
      <c r="W11" s="256">
        <f>0</f>
        <v>0</v>
      </c>
      <c r="X11" s="256">
        <f>0</f>
        <v>0</v>
      </c>
      <c r="Y11" s="256">
        <f>0</f>
        <v>0</v>
      </c>
      <c r="Z11" s="256">
        <f>0</f>
        <v>0</v>
      </c>
      <c r="AA11" s="256">
        <f>0</f>
        <v>0</v>
      </c>
      <c r="AB11" s="256">
        <f>0</f>
        <v>0</v>
      </c>
      <c r="AC11" s="256">
        <f>0</f>
        <v>0</v>
      </c>
      <c r="AD11" s="256">
        <f>0</f>
        <v>0</v>
      </c>
      <c r="AE11" s="256">
        <f>0</f>
        <v>0</v>
      </c>
      <c r="AF11" s="256">
        <f>0</f>
        <v>0</v>
      </c>
      <c r="AG11" s="256">
        <f>0</f>
        <v>0</v>
      </c>
      <c r="AH11" s="256">
        <f>0</f>
        <v>0</v>
      </c>
      <c r="AI11" s="256">
        <f>0</f>
        <v>0</v>
      </c>
      <c r="AJ11" s="256">
        <f>0</f>
        <v>0</v>
      </c>
      <c r="AK11" s="256">
        <f>0</f>
        <v>0</v>
      </c>
      <c r="AL11" s="255">
        <f>0</f>
        <v>0</v>
      </c>
    </row>
    <row r="12" spans="1:39" ht="15" customHeight="1" outlineLevel="3">
      <c r="B12" s="263" t="s">
        <v>321</v>
      </c>
      <c r="C12" s="262"/>
      <c r="D12" s="261" t="s">
        <v>320</v>
      </c>
      <c r="E12" s="260">
        <f>3601430.92</f>
        <v>3601430.92</v>
      </c>
      <c r="F12" s="259">
        <f>3787259.62</f>
        <v>3787259.62</v>
      </c>
      <c r="G12" s="259">
        <f>0</f>
        <v>0</v>
      </c>
      <c r="H12" s="258">
        <f>4475079.28</f>
        <v>4475079.28</v>
      </c>
      <c r="I12" s="257">
        <f>3107601</f>
        <v>3107601</v>
      </c>
      <c r="J12" s="256">
        <f>3158000</f>
        <v>3158000</v>
      </c>
      <c r="K12" s="256">
        <f>3316000</f>
        <v>3316000</v>
      </c>
      <c r="L12" s="256">
        <f>3316000</f>
        <v>3316000</v>
      </c>
      <c r="M12" s="256">
        <f>3343000</f>
        <v>3343000</v>
      </c>
      <c r="N12" s="256">
        <f>3443000</f>
        <v>3443000</v>
      </c>
      <c r="O12" s="256">
        <f>3546000</f>
        <v>3546000</v>
      </c>
      <c r="P12" s="256">
        <f>3653000</f>
        <v>3653000</v>
      </c>
      <c r="Q12" s="256">
        <f>3762000</f>
        <v>3762000</v>
      </c>
      <c r="R12" s="256">
        <f>3875000</f>
        <v>3875000</v>
      </c>
      <c r="S12" s="256">
        <f>3991000</f>
        <v>3991000</v>
      </c>
      <c r="T12" s="256">
        <f>4111000</f>
        <v>4111000</v>
      </c>
      <c r="U12" s="256">
        <f>4234000</f>
        <v>4234000</v>
      </c>
      <c r="V12" s="256">
        <f>0</f>
        <v>0</v>
      </c>
      <c r="W12" s="256">
        <f>0</f>
        <v>0</v>
      </c>
      <c r="X12" s="256">
        <f>0</f>
        <v>0</v>
      </c>
      <c r="Y12" s="256">
        <f>0</f>
        <v>0</v>
      </c>
      <c r="Z12" s="256">
        <f>0</f>
        <v>0</v>
      </c>
      <c r="AA12" s="256">
        <f>0</f>
        <v>0</v>
      </c>
      <c r="AB12" s="256">
        <f>0</f>
        <v>0</v>
      </c>
      <c r="AC12" s="256">
        <f>0</f>
        <v>0</v>
      </c>
      <c r="AD12" s="256">
        <f>0</f>
        <v>0</v>
      </c>
      <c r="AE12" s="256">
        <f>0</f>
        <v>0</v>
      </c>
      <c r="AF12" s="256">
        <f>0</f>
        <v>0</v>
      </c>
      <c r="AG12" s="256">
        <f>0</f>
        <v>0</v>
      </c>
      <c r="AH12" s="256">
        <f>0</f>
        <v>0</v>
      </c>
      <c r="AI12" s="256">
        <f>0</f>
        <v>0</v>
      </c>
      <c r="AJ12" s="256">
        <f>0</f>
        <v>0</v>
      </c>
      <c r="AK12" s="256">
        <f>0</f>
        <v>0</v>
      </c>
      <c r="AL12" s="255">
        <f>0</f>
        <v>0</v>
      </c>
    </row>
    <row r="13" spans="1:39" ht="15" customHeight="1" outlineLevel="2">
      <c r="A13" s="311" t="s">
        <v>39</v>
      </c>
      <c r="B13" s="263" t="s">
        <v>319</v>
      </c>
      <c r="C13" s="262"/>
      <c r="D13" s="264" t="s">
        <v>16</v>
      </c>
      <c r="E13" s="260">
        <f>3032196.59</f>
        <v>3032196.59</v>
      </c>
      <c r="F13" s="259">
        <f>1732403.2</f>
        <v>1732403.2</v>
      </c>
      <c r="G13" s="259">
        <f>2687994</f>
        <v>2687994</v>
      </c>
      <c r="H13" s="258">
        <f>2530972.16</f>
        <v>2530972.16</v>
      </c>
      <c r="I13" s="257">
        <f>3158000</f>
        <v>3158000</v>
      </c>
      <c r="J13" s="256">
        <f>2778000</f>
        <v>2778000</v>
      </c>
      <c r="K13" s="256">
        <f t="shared" ref="K13:U14" si="0">300000</f>
        <v>300000</v>
      </c>
      <c r="L13" s="256">
        <f t="shared" si="0"/>
        <v>300000</v>
      </c>
      <c r="M13" s="256">
        <f t="shared" si="0"/>
        <v>300000</v>
      </c>
      <c r="N13" s="256">
        <f t="shared" si="0"/>
        <v>300000</v>
      </c>
      <c r="O13" s="256">
        <f t="shared" si="0"/>
        <v>300000</v>
      </c>
      <c r="P13" s="256">
        <f t="shared" si="0"/>
        <v>300000</v>
      </c>
      <c r="Q13" s="256">
        <f t="shared" si="0"/>
        <v>300000</v>
      </c>
      <c r="R13" s="256">
        <f t="shared" si="0"/>
        <v>300000</v>
      </c>
      <c r="S13" s="256">
        <f t="shared" si="0"/>
        <v>300000</v>
      </c>
      <c r="T13" s="256">
        <f t="shared" si="0"/>
        <v>300000</v>
      </c>
      <c r="U13" s="256">
        <f t="shared" si="0"/>
        <v>300000</v>
      </c>
      <c r="V13" s="256">
        <f>0</f>
        <v>0</v>
      </c>
      <c r="W13" s="256">
        <f>0</f>
        <v>0</v>
      </c>
      <c r="X13" s="256">
        <f>0</f>
        <v>0</v>
      </c>
      <c r="Y13" s="256">
        <f>0</f>
        <v>0</v>
      </c>
      <c r="Z13" s="256">
        <f>0</f>
        <v>0</v>
      </c>
      <c r="AA13" s="256">
        <f>0</f>
        <v>0</v>
      </c>
      <c r="AB13" s="256">
        <f>0</f>
        <v>0</v>
      </c>
      <c r="AC13" s="256">
        <f>0</f>
        <v>0</v>
      </c>
      <c r="AD13" s="256">
        <f>0</f>
        <v>0</v>
      </c>
      <c r="AE13" s="256">
        <f>0</f>
        <v>0</v>
      </c>
      <c r="AF13" s="256">
        <f>0</f>
        <v>0</v>
      </c>
      <c r="AG13" s="256">
        <f>0</f>
        <v>0</v>
      </c>
      <c r="AH13" s="256">
        <f>0</f>
        <v>0</v>
      </c>
      <c r="AI13" s="256">
        <f>0</f>
        <v>0</v>
      </c>
      <c r="AJ13" s="256">
        <f>0</f>
        <v>0</v>
      </c>
      <c r="AK13" s="256">
        <f>0</f>
        <v>0</v>
      </c>
      <c r="AL13" s="255">
        <f>0</f>
        <v>0</v>
      </c>
    </row>
    <row r="14" spans="1:39" ht="15" customHeight="1" outlineLevel="3">
      <c r="A14" s="311" t="s">
        <v>39</v>
      </c>
      <c r="B14" s="263" t="s">
        <v>318</v>
      </c>
      <c r="C14" s="262"/>
      <c r="D14" s="261" t="s">
        <v>15</v>
      </c>
      <c r="E14" s="260">
        <f>92937.99</f>
        <v>92937.99</v>
      </c>
      <c r="F14" s="259">
        <f>125090.2</f>
        <v>125090.2</v>
      </c>
      <c r="G14" s="259">
        <f>260000</f>
        <v>260000</v>
      </c>
      <c r="H14" s="258">
        <f>195725.78</f>
        <v>195725.78</v>
      </c>
      <c r="I14" s="257">
        <f>1620000</f>
        <v>1620000</v>
      </c>
      <c r="J14" s="256">
        <f>300000</f>
        <v>300000</v>
      </c>
      <c r="K14" s="256">
        <f t="shared" si="0"/>
        <v>300000</v>
      </c>
      <c r="L14" s="256">
        <f t="shared" si="0"/>
        <v>300000</v>
      </c>
      <c r="M14" s="256">
        <f t="shared" si="0"/>
        <v>300000</v>
      </c>
      <c r="N14" s="256">
        <f t="shared" si="0"/>
        <v>300000</v>
      </c>
      <c r="O14" s="256">
        <f t="shared" si="0"/>
        <v>300000</v>
      </c>
      <c r="P14" s="256">
        <f t="shared" si="0"/>
        <v>300000</v>
      </c>
      <c r="Q14" s="256">
        <f t="shared" si="0"/>
        <v>300000</v>
      </c>
      <c r="R14" s="256">
        <f t="shared" si="0"/>
        <v>300000</v>
      </c>
      <c r="S14" s="256">
        <f t="shared" si="0"/>
        <v>300000</v>
      </c>
      <c r="T14" s="256">
        <f t="shared" si="0"/>
        <v>300000</v>
      </c>
      <c r="U14" s="256">
        <f t="shared" si="0"/>
        <v>300000</v>
      </c>
      <c r="V14" s="256">
        <f>0</f>
        <v>0</v>
      </c>
      <c r="W14" s="256">
        <f>0</f>
        <v>0</v>
      </c>
      <c r="X14" s="256">
        <f>0</f>
        <v>0</v>
      </c>
      <c r="Y14" s="256">
        <f>0</f>
        <v>0</v>
      </c>
      <c r="Z14" s="256">
        <f>0</f>
        <v>0</v>
      </c>
      <c r="AA14" s="256">
        <f>0</f>
        <v>0</v>
      </c>
      <c r="AB14" s="256">
        <f>0</f>
        <v>0</v>
      </c>
      <c r="AC14" s="256">
        <f>0</f>
        <v>0</v>
      </c>
      <c r="AD14" s="256">
        <f>0</f>
        <v>0</v>
      </c>
      <c r="AE14" s="256">
        <f>0</f>
        <v>0</v>
      </c>
      <c r="AF14" s="256">
        <f>0</f>
        <v>0</v>
      </c>
      <c r="AG14" s="256">
        <f>0</f>
        <v>0</v>
      </c>
      <c r="AH14" s="256">
        <f>0</f>
        <v>0</v>
      </c>
      <c r="AI14" s="256">
        <f>0</f>
        <v>0</v>
      </c>
      <c r="AJ14" s="256">
        <f>0</f>
        <v>0</v>
      </c>
      <c r="AK14" s="256">
        <f>0</f>
        <v>0</v>
      </c>
      <c r="AL14" s="255">
        <f>0</f>
        <v>0</v>
      </c>
    </row>
    <row r="15" spans="1:39" ht="15" customHeight="1" outlineLevel="3">
      <c r="B15" s="263" t="s">
        <v>317</v>
      </c>
      <c r="C15" s="262"/>
      <c r="D15" s="261" t="s">
        <v>316</v>
      </c>
      <c r="E15" s="260">
        <f>2937655.22</f>
        <v>2937655.22</v>
      </c>
      <c r="F15" s="259">
        <f>1605522</f>
        <v>1605522</v>
      </c>
      <c r="G15" s="259">
        <f>0</f>
        <v>0</v>
      </c>
      <c r="H15" s="258">
        <f>2325716.35</f>
        <v>2325716.35</v>
      </c>
      <c r="I15" s="257">
        <f>1529461</f>
        <v>1529461</v>
      </c>
      <c r="J15" s="256">
        <f>2478000</f>
        <v>2478000</v>
      </c>
      <c r="K15" s="256">
        <f>0</f>
        <v>0</v>
      </c>
      <c r="L15" s="256">
        <f>0</f>
        <v>0</v>
      </c>
      <c r="M15" s="256">
        <f>0</f>
        <v>0</v>
      </c>
      <c r="N15" s="256">
        <f>0</f>
        <v>0</v>
      </c>
      <c r="O15" s="256">
        <f>0</f>
        <v>0</v>
      </c>
      <c r="P15" s="256">
        <f>0</f>
        <v>0</v>
      </c>
      <c r="Q15" s="256">
        <f>0</f>
        <v>0</v>
      </c>
      <c r="R15" s="256">
        <f>0</f>
        <v>0</v>
      </c>
      <c r="S15" s="256">
        <f>0</f>
        <v>0</v>
      </c>
      <c r="T15" s="256">
        <f>0</f>
        <v>0</v>
      </c>
      <c r="U15" s="256">
        <f>0</f>
        <v>0</v>
      </c>
      <c r="V15" s="256">
        <f>0</f>
        <v>0</v>
      </c>
      <c r="W15" s="256">
        <f>0</f>
        <v>0</v>
      </c>
      <c r="X15" s="256">
        <f>0</f>
        <v>0</v>
      </c>
      <c r="Y15" s="256">
        <f>0</f>
        <v>0</v>
      </c>
      <c r="Z15" s="256">
        <f>0</f>
        <v>0</v>
      </c>
      <c r="AA15" s="256">
        <f>0</f>
        <v>0</v>
      </c>
      <c r="AB15" s="256">
        <f>0</f>
        <v>0</v>
      </c>
      <c r="AC15" s="256">
        <f>0</f>
        <v>0</v>
      </c>
      <c r="AD15" s="256">
        <f>0</f>
        <v>0</v>
      </c>
      <c r="AE15" s="256">
        <f>0</f>
        <v>0</v>
      </c>
      <c r="AF15" s="256">
        <f>0</f>
        <v>0</v>
      </c>
      <c r="AG15" s="256">
        <f>0</f>
        <v>0</v>
      </c>
      <c r="AH15" s="256">
        <f>0</f>
        <v>0</v>
      </c>
      <c r="AI15" s="256">
        <f>0</f>
        <v>0</v>
      </c>
      <c r="AJ15" s="256">
        <f>0</f>
        <v>0</v>
      </c>
      <c r="AK15" s="256">
        <f>0</f>
        <v>0</v>
      </c>
      <c r="AL15" s="255">
        <f>0</f>
        <v>0</v>
      </c>
    </row>
    <row r="16" spans="1:39" ht="15" customHeight="1" outlineLevel="1">
      <c r="A16" s="311" t="s">
        <v>39</v>
      </c>
      <c r="B16" s="273">
        <v>2</v>
      </c>
      <c r="C16" s="272"/>
      <c r="D16" s="271" t="s">
        <v>14</v>
      </c>
      <c r="E16" s="281">
        <f>18764728.81</f>
        <v>18764728.809999999</v>
      </c>
      <c r="F16" s="280">
        <f>22266908</f>
        <v>22266908</v>
      </c>
      <c r="G16" s="280">
        <f>20656887.92</f>
        <v>20656887.920000002</v>
      </c>
      <c r="H16" s="279">
        <f>18408779.1</f>
        <v>18408779.100000001</v>
      </c>
      <c r="I16" s="278">
        <f>19313944</f>
        <v>19313944</v>
      </c>
      <c r="J16" s="277">
        <f>18278000</f>
        <v>18278000</v>
      </c>
      <c r="K16" s="277">
        <f>17000000</f>
        <v>17000000</v>
      </c>
      <c r="L16" s="277">
        <f>16643950</f>
        <v>16643950</v>
      </c>
      <c r="M16" s="277">
        <f>16637269</f>
        <v>16637269</v>
      </c>
      <c r="N16" s="277">
        <f>17145387</f>
        <v>17145387</v>
      </c>
      <c r="O16" s="277">
        <f>17068748</f>
        <v>17068748</v>
      </c>
      <c r="P16" s="277">
        <f>17507811</f>
        <v>17507811</v>
      </c>
      <c r="Q16" s="277">
        <f>18163045</f>
        <v>18163045</v>
      </c>
      <c r="R16" s="277">
        <f>18604936</f>
        <v>18604936</v>
      </c>
      <c r="S16" s="277">
        <f>19013984</f>
        <v>19013984</v>
      </c>
      <c r="T16" s="277">
        <f>19582704</f>
        <v>19582704</v>
      </c>
      <c r="U16" s="277">
        <f>21290625</f>
        <v>21290625</v>
      </c>
      <c r="V16" s="277">
        <f>0</f>
        <v>0</v>
      </c>
      <c r="W16" s="277">
        <f>0</f>
        <v>0</v>
      </c>
      <c r="X16" s="277">
        <f>0</f>
        <v>0</v>
      </c>
      <c r="Y16" s="277">
        <f>0</f>
        <v>0</v>
      </c>
      <c r="Z16" s="277">
        <f>0</f>
        <v>0</v>
      </c>
      <c r="AA16" s="277">
        <f>0</f>
        <v>0</v>
      </c>
      <c r="AB16" s="277">
        <f>0</f>
        <v>0</v>
      </c>
      <c r="AC16" s="277">
        <f>0</f>
        <v>0</v>
      </c>
      <c r="AD16" s="277">
        <f>0</f>
        <v>0</v>
      </c>
      <c r="AE16" s="277">
        <f>0</f>
        <v>0</v>
      </c>
      <c r="AF16" s="277">
        <f>0</f>
        <v>0</v>
      </c>
      <c r="AG16" s="277">
        <f>0</f>
        <v>0</v>
      </c>
      <c r="AH16" s="277">
        <f>0</f>
        <v>0</v>
      </c>
      <c r="AI16" s="277">
        <f>0</f>
        <v>0</v>
      </c>
      <c r="AJ16" s="277">
        <f>0</f>
        <v>0</v>
      </c>
      <c r="AK16" s="277">
        <f>0</f>
        <v>0</v>
      </c>
      <c r="AL16" s="276">
        <f>0</f>
        <v>0</v>
      </c>
      <c r="AM16" s="30"/>
    </row>
    <row r="17" spans="1:39" ht="15" customHeight="1" outlineLevel="2">
      <c r="A17" s="311" t="s">
        <v>39</v>
      </c>
      <c r="B17" s="263" t="s">
        <v>315</v>
      </c>
      <c r="C17" s="262"/>
      <c r="D17" s="264" t="s">
        <v>13</v>
      </c>
      <c r="E17" s="260">
        <f>14183688.6</f>
        <v>14183688.6</v>
      </c>
      <c r="F17" s="259">
        <f>14121187.48</f>
        <v>14121187.48</v>
      </c>
      <c r="G17" s="259">
        <f>15825527.92</f>
        <v>15825527.92</v>
      </c>
      <c r="H17" s="258">
        <f>15466263.53</f>
        <v>15466263.529999999</v>
      </c>
      <c r="I17" s="257">
        <f>16200675</f>
        <v>16200675</v>
      </c>
      <c r="J17" s="256">
        <f>14572983</f>
        <v>14572983</v>
      </c>
      <c r="K17" s="256">
        <f>14573673</f>
        <v>14573673</v>
      </c>
      <c r="L17" s="256">
        <f>14946533</f>
        <v>14946533</v>
      </c>
      <c r="M17" s="256">
        <f>15333929</f>
        <v>15333929</v>
      </c>
      <c r="N17" s="256">
        <f>15741237</f>
        <v>15741237</v>
      </c>
      <c r="O17" s="256">
        <f>16161844</f>
        <v>16161844</v>
      </c>
      <c r="P17" s="256">
        <f>16560149</f>
        <v>16560149</v>
      </c>
      <c r="Q17" s="256">
        <f>16966564</f>
        <v>16966564</v>
      </c>
      <c r="R17" s="256">
        <f>17393510</f>
        <v>17393510</v>
      </c>
      <c r="S17" s="256">
        <f>17827425</f>
        <v>17827425</v>
      </c>
      <c r="T17" s="256">
        <f>18266759</f>
        <v>18266759</v>
      </c>
      <c r="U17" s="256">
        <f>18718971</f>
        <v>18718971</v>
      </c>
      <c r="V17" s="256">
        <f>0</f>
        <v>0</v>
      </c>
      <c r="W17" s="256">
        <f>0</f>
        <v>0</v>
      </c>
      <c r="X17" s="256">
        <f>0</f>
        <v>0</v>
      </c>
      <c r="Y17" s="256">
        <f>0</f>
        <v>0</v>
      </c>
      <c r="Z17" s="256">
        <f>0</f>
        <v>0</v>
      </c>
      <c r="AA17" s="256">
        <f>0</f>
        <v>0</v>
      </c>
      <c r="AB17" s="256">
        <f>0</f>
        <v>0</v>
      </c>
      <c r="AC17" s="256">
        <f>0</f>
        <v>0</v>
      </c>
      <c r="AD17" s="256">
        <f>0</f>
        <v>0</v>
      </c>
      <c r="AE17" s="256">
        <f>0</f>
        <v>0</v>
      </c>
      <c r="AF17" s="256">
        <f>0</f>
        <v>0</v>
      </c>
      <c r="AG17" s="256">
        <f>0</f>
        <v>0</v>
      </c>
      <c r="AH17" s="256">
        <f>0</f>
        <v>0</v>
      </c>
      <c r="AI17" s="256">
        <f>0</f>
        <v>0</v>
      </c>
      <c r="AJ17" s="256">
        <f>0</f>
        <v>0</v>
      </c>
      <c r="AK17" s="256">
        <f>0</f>
        <v>0</v>
      </c>
      <c r="AL17" s="255">
        <f>0</f>
        <v>0</v>
      </c>
    </row>
    <row r="18" spans="1:39" ht="15" customHeight="1" outlineLevel="3">
      <c r="A18" s="311" t="s">
        <v>39</v>
      </c>
      <c r="B18" s="263" t="s">
        <v>314</v>
      </c>
      <c r="C18" s="262"/>
      <c r="D18" s="261" t="s">
        <v>11</v>
      </c>
      <c r="E18" s="260">
        <f>0</f>
        <v>0</v>
      </c>
      <c r="F18" s="259">
        <f>0</f>
        <v>0</v>
      </c>
      <c r="G18" s="259">
        <f>0</f>
        <v>0</v>
      </c>
      <c r="H18" s="258">
        <f>0</f>
        <v>0</v>
      </c>
      <c r="I18" s="257">
        <f>0</f>
        <v>0</v>
      </c>
      <c r="J18" s="256">
        <f>0</f>
        <v>0</v>
      </c>
      <c r="K18" s="256">
        <f>0</f>
        <v>0</v>
      </c>
      <c r="L18" s="256">
        <f>0</f>
        <v>0</v>
      </c>
      <c r="M18" s="256">
        <f>0</f>
        <v>0</v>
      </c>
      <c r="N18" s="256">
        <f>0</f>
        <v>0</v>
      </c>
      <c r="O18" s="256">
        <f>0</f>
        <v>0</v>
      </c>
      <c r="P18" s="256">
        <f>0</f>
        <v>0</v>
      </c>
      <c r="Q18" s="256">
        <f>0</f>
        <v>0</v>
      </c>
      <c r="R18" s="256">
        <f>0</f>
        <v>0</v>
      </c>
      <c r="S18" s="256">
        <f>0</f>
        <v>0</v>
      </c>
      <c r="T18" s="256">
        <f>0</f>
        <v>0</v>
      </c>
      <c r="U18" s="256">
        <f>0</f>
        <v>0</v>
      </c>
      <c r="V18" s="256">
        <f>0</f>
        <v>0</v>
      </c>
      <c r="W18" s="256">
        <f>0</f>
        <v>0</v>
      </c>
      <c r="X18" s="256">
        <f>0</f>
        <v>0</v>
      </c>
      <c r="Y18" s="256">
        <f>0</f>
        <v>0</v>
      </c>
      <c r="Z18" s="256">
        <f>0</f>
        <v>0</v>
      </c>
      <c r="AA18" s="256">
        <f>0</f>
        <v>0</v>
      </c>
      <c r="AB18" s="256">
        <f>0</f>
        <v>0</v>
      </c>
      <c r="AC18" s="256">
        <f>0</f>
        <v>0</v>
      </c>
      <c r="AD18" s="256">
        <f>0</f>
        <v>0</v>
      </c>
      <c r="AE18" s="256">
        <f>0</f>
        <v>0</v>
      </c>
      <c r="AF18" s="256">
        <f>0</f>
        <v>0</v>
      </c>
      <c r="AG18" s="256">
        <f>0</f>
        <v>0</v>
      </c>
      <c r="AH18" s="256">
        <f>0</f>
        <v>0</v>
      </c>
      <c r="AI18" s="256">
        <f>0</f>
        <v>0</v>
      </c>
      <c r="AJ18" s="256">
        <f>0</f>
        <v>0</v>
      </c>
      <c r="AK18" s="256">
        <f>0</f>
        <v>0</v>
      </c>
      <c r="AL18" s="255">
        <f>0</f>
        <v>0</v>
      </c>
    </row>
    <row r="19" spans="1:39" ht="48" customHeight="1" outlineLevel="3">
      <c r="A19" s="311" t="s">
        <v>39</v>
      </c>
      <c r="B19" s="263" t="s">
        <v>313</v>
      </c>
      <c r="C19" s="262"/>
      <c r="D19" s="275" t="s">
        <v>312</v>
      </c>
      <c r="E19" s="260">
        <f>0</f>
        <v>0</v>
      </c>
      <c r="F19" s="259">
        <f>0</f>
        <v>0</v>
      </c>
      <c r="G19" s="259">
        <f>0</f>
        <v>0</v>
      </c>
      <c r="H19" s="258">
        <f>0</f>
        <v>0</v>
      </c>
      <c r="I19" s="257">
        <f>0</f>
        <v>0</v>
      </c>
      <c r="J19" s="256">
        <f>0</f>
        <v>0</v>
      </c>
      <c r="K19" s="256">
        <f>0</f>
        <v>0</v>
      </c>
      <c r="L19" s="256">
        <f>0</f>
        <v>0</v>
      </c>
      <c r="M19" s="256">
        <f>0</f>
        <v>0</v>
      </c>
      <c r="N19" s="256">
        <f>0</f>
        <v>0</v>
      </c>
      <c r="O19" s="256">
        <f>0</f>
        <v>0</v>
      </c>
      <c r="P19" s="256">
        <f>0</f>
        <v>0</v>
      </c>
      <c r="Q19" s="256">
        <f>0</f>
        <v>0</v>
      </c>
      <c r="R19" s="256">
        <f>0</f>
        <v>0</v>
      </c>
      <c r="S19" s="256">
        <f>0</f>
        <v>0</v>
      </c>
      <c r="T19" s="256">
        <f>0</f>
        <v>0</v>
      </c>
      <c r="U19" s="256">
        <f>0</f>
        <v>0</v>
      </c>
      <c r="V19" s="256">
        <f>0</f>
        <v>0</v>
      </c>
      <c r="W19" s="256">
        <f>0</f>
        <v>0</v>
      </c>
      <c r="X19" s="256">
        <f>0</f>
        <v>0</v>
      </c>
      <c r="Y19" s="256">
        <f>0</f>
        <v>0</v>
      </c>
      <c r="Z19" s="256">
        <f>0</f>
        <v>0</v>
      </c>
      <c r="AA19" s="256">
        <f>0</f>
        <v>0</v>
      </c>
      <c r="AB19" s="256">
        <f>0</f>
        <v>0</v>
      </c>
      <c r="AC19" s="256">
        <f>0</f>
        <v>0</v>
      </c>
      <c r="AD19" s="256">
        <f>0</f>
        <v>0</v>
      </c>
      <c r="AE19" s="256">
        <f>0</f>
        <v>0</v>
      </c>
      <c r="AF19" s="256">
        <f>0</f>
        <v>0</v>
      </c>
      <c r="AG19" s="256">
        <f>0</f>
        <v>0</v>
      </c>
      <c r="AH19" s="256">
        <f>0</f>
        <v>0</v>
      </c>
      <c r="AI19" s="256">
        <f>0</f>
        <v>0</v>
      </c>
      <c r="AJ19" s="256">
        <f>0</f>
        <v>0</v>
      </c>
      <c r="AK19" s="256">
        <f>0</f>
        <v>0</v>
      </c>
      <c r="AL19" s="255">
        <f>0</f>
        <v>0</v>
      </c>
    </row>
    <row r="20" spans="1:39" ht="39" customHeight="1" outlineLevel="3">
      <c r="B20" s="263" t="s">
        <v>311</v>
      </c>
      <c r="C20" s="262"/>
      <c r="D20" s="261" t="s">
        <v>310</v>
      </c>
      <c r="E20" s="295" t="s">
        <v>39</v>
      </c>
      <c r="F20" s="294" t="s">
        <v>39</v>
      </c>
      <c r="G20" s="294" t="s">
        <v>39</v>
      </c>
      <c r="H20" s="293" t="s">
        <v>39</v>
      </c>
      <c r="I20" s="257">
        <f>0</f>
        <v>0</v>
      </c>
      <c r="J20" s="256">
        <f>0</f>
        <v>0</v>
      </c>
      <c r="K20" s="256">
        <f>0</f>
        <v>0</v>
      </c>
      <c r="L20" s="256">
        <f>0</f>
        <v>0</v>
      </c>
      <c r="M20" s="256">
        <f>0</f>
        <v>0</v>
      </c>
      <c r="N20" s="256">
        <f>0</f>
        <v>0</v>
      </c>
      <c r="O20" s="256">
        <f>0</f>
        <v>0</v>
      </c>
      <c r="P20" s="256">
        <f>0</f>
        <v>0</v>
      </c>
      <c r="Q20" s="256">
        <f>0</f>
        <v>0</v>
      </c>
      <c r="R20" s="256">
        <f>0</f>
        <v>0</v>
      </c>
      <c r="S20" s="256">
        <f>0</f>
        <v>0</v>
      </c>
      <c r="T20" s="256">
        <f>0</f>
        <v>0</v>
      </c>
      <c r="U20" s="256">
        <f>0</f>
        <v>0</v>
      </c>
      <c r="V20" s="256">
        <f>0</f>
        <v>0</v>
      </c>
      <c r="W20" s="256">
        <f>0</f>
        <v>0</v>
      </c>
      <c r="X20" s="256">
        <f>0</f>
        <v>0</v>
      </c>
      <c r="Y20" s="256">
        <f>0</f>
        <v>0</v>
      </c>
      <c r="Z20" s="256">
        <f>0</f>
        <v>0</v>
      </c>
      <c r="AA20" s="256">
        <f>0</f>
        <v>0</v>
      </c>
      <c r="AB20" s="256">
        <f>0</f>
        <v>0</v>
      </c>
      <c r="AC20" s="256">
        <f>0</f>
        <v>0</v>
      </c>
      <c r="AD20" s="256">
        <f>0</f>
        <v>0</v>
      </c>
      <c r="AE20" s="256">
        <f>0</f>
        <v>0</v>
      </c>
      <c r="AF20" s="256">
        <f>0</f>
        <v>0</v>
      </c>
      <c r="AG20" s="256">
        <f>0</f>
        <v>0</v>
      </c>
      <c r="AH20" s="256">
        <f>0</f>
        <v>0</v>
      </c>
      <c r="AI20" s="256">
        <f>0</f>
        <v>0</v>
      </c>
      <c r="AJ20" s="256">
        <f>0</f>
        <v>0</v>
      </c>
      <c r="AK20" s="256">
        <f>0</f>
        <v>0</v>
      </c>
      <c r="AL20" s="255">
        <f>0</f>
        <v>0</v>
      </c>
    </row>
    <row r="21" spans="1:39" ht="15" customHeight="1" outlineLevel="3">
      <c r="A21" s="311" t="s">
        <v>39</v>
      </c>
      <c r="B21" s="263" t="s">
        <v>309</v>
      </c>
      <c r="C21" s="262"/>
      <c r="D21" s="261" t="s">
        <v>308</v>
      </c>
      <c r="E21" s="260">
        <f>120758.49</f>
        <v>120758.49</v>
      </c>
      <c r="F21" s="259">
        <f>467814.33</f>
        <v>467814.33</v>
      </c>
      <c r="G21" s="259">
        <f>679120</f>
        <v>679120</v>
      </c>
      <c r="H21" s="258">
        <f>695470.76</f>
        <v>695470.76</v>
      </c>
      <c r="I21" s="257">
        <f>800302</f>
        <v>800302</v>
      </c>
      <c r="J21" s="256">
        <f>550000</f>
        <v>550000</v>
      </c>
      <c r="K21" s="256">
        <f>645000</f>
        <v>645000</v>
      </c>
      <c r="L21" s="256">
        <f>600000</f>
        <v>600000</v>
      </c>
      <c r="M21" s="256">
        <f>557000</f>
        <v>557000</v>
      </c>
      <c r="N21" s="256">
        <f>521000</f>
        <v>521000</v>
      </c>
      <c r="O21" s="256">
        <f>485000</f>
        <v>485000</v>
      </c>
      <c r="P21" s="256">
        <f>413000</f>
        <v>413000</v>
      </c>
      <c r="Q21" s="256">
        <f>335000</f>
        <v>335000</v>
      </c>
      <c r="R21" s="256">
        <f>263000</f>
        <v>263000</v>
      </c>
      <c r="S21" s="256">
        <f>183000</f>
        <v>183000</v>
      </c>
      <c r="T21" s="256">
        <f>93000</f>
        <v>93000</v>
      </c>
      <c r="U21" s="256">
        <f>0</f>
        <v>0</v>
      </c>
      <c r="V21" s="256">
        <f>0</f>
        <v>0</v>
      </c>
      <c r="W21" s="256">
        <f>0</f>
        <v>0</v>
      </c>
      <c r="X21" s="256">
        <f>0</f>
        <v>0</v>
      </c>
      <c r="Y21" s="256">
        <f>0</f>
        <v>0</v>
      </c>
      <c r="Z21" s="256">
        <f>0</f>
        <v>0</v>
      </c>
      <c r="AA21" s="256">
        <f>0</f>
        <v>0</v>
      </c>
      <c r="AB21" s="256">
        <f>0</f>
        <v>0</v>
      </c>
      <c r="AC21" s="256">
        <f>0</f>
        <v>0</v>
      </c>
      <c r="AD21" s="256">
        <f>0</f>
        <v>0</v>
      </c>
      <c r="AE21" s="256">
        <f>0</f>
        <v>0</v>
      </c>
      <c r="AF21" s="256">
        <f>0</f>
        <v>0</v>
      </c>
      <c r="AG21" s="256">
        <f>0</f>
        <v>0</v>
      </c>
      <c r="AH21" s="256">
        <f>0</f>
        <v>0</v>
      </c>
      <c r="AI21" s="256">
        <f>0</f>
        <v>0</v>
      </c>
      <c r="AJ21" s="256">
        <f>0</f>
        <v>0</v>
      </c>
      <c r="AK21" s="256">
        <f>0</f>
        <v>0</v>
      </c>
      <c r="AL21" s="255">
        <f>0</f>
        <v>0</v>
      </c>
    </row>
    <row r="22" spans="1:39" ht="15" customHeight="1" outlineLevel="3">
      <c r="A22" s="311" t="s">
        <v>39</v>
      </c>
      <c r="B22" s="263" t="s">
        <v>307</v>
      </c>
      <c r="C22" s="262"/>
      <c r="D22" s="275" t="s">
        <v>306</v>
      </c>
      <c r="E22" s="260">
        <f>106758.49</f>
        <v>106758.49</v>
      </c>
      <c r="F22" s="259">
        <f>439714.33</f>
        <v>439714.33</v>
      </c>
      <c r="G22" s="259">
        <f>669120</f>
        <v>669120</v>
      </c>
      <c r="H22" s="258">
        <f>685470.76</f>
        <v>685470.76</v>
      </c>
      <c r="I22" s="257">
        <f>790302</f>
        <v>790302</v>
      </c>
      <c r="J22" s="256">
        <f>550000</f>
        <v>550000</v>
      </c>
      <c r="K22" s="256">
        <f>645000</f>
        <v>645000</v>
      </c>
      <c r="L22" s="256">
        <f>600000</f>
        <v>600000</v>
      </c>
      <c r="M22" s="256">
        <f>557000</f>
        <v>557000</v>
      </c>
      <c r="N22" s="256">
        <f>521000</f>
        <v>521000</v>
      </c>
      <c r="O22" s="256">
        <f>485000</f>
        <v>485000</v>
      </c>
      <c r="P22" s="256">
        <f>413000</f>
        <v>413000</v>
      </c>
      <c r="Q22" s="256">
        <f>335000</f>
        <v>335000</v>
      </c>
      <c r="R22" s="256">
        <f>263000</f>
        <v>263000</v>
      </c>
      <c r="S22" s="256">
        <f>183000</f>
        <v>183000</v>
      </c>
      <c r="T22" s="256">
        <f>93000</f>
        <v>93000</v>
      </c>
      <c r="U22" s="256">
        <f>0</f>
        <v>0</v>
      </c>
      <c r="V22" s="256">
        <f>0</f>
        <v>0</v>
      </c>
      <c r="W22" s="256">
        <f>0</f>
        <v>0</v>
      </c>
      <c r="X22" s="256">
        <f>0</f>
        <v>0</v>
      </c>
      <c r="Y22" s="256">
        <f>0</f>
        <v>0</v>
      </c>
      <c r="Z22" s="256">
        <f>0</f>
        <v>0</v>
      </c>
      <c r="AA22" s="256">
        <f>0</f>
        <v>0</v>
      </c>
      <c r="AB22" s="256">
        <f>0</f>
        <v>0</v>
      </c>
      <c r="AC22" s="256">
        <f>0</f>
        <v>0</v>
      </c>
      <c r="AD22" s="256">
        <f>0</f>
        <v>0</v>
      </c>
      <c r="AE22" s="256">
        <f>0</f>
        <v>0</v>
      </c>
      <c r="AF22" s="256">
        <f>0</f>
        <v>0</v>
      </c>
      <c r="AG22" s="256">
        <f>0</f>
        <v>0</v>
      </c>
      <c r="AH22" s="256">
        <f>0</f>
        <v>0</v>
      </c>
      <c r="AI22" s="256">
        <f>0</f>
        <v>0</v>
      </c>
      <c r="AJ22" s="256">
        <f>0</f>
        <v>0</v>
      </c>
      <c r="AK22" s="256">
        <f>0</f>
        <v>0</v>
      </c>
      <c r="AL22" s="255">
        <f>0</f>
        <v>0</v>
      </c>
    </row>
    <row r="23" spans="1:39" ht="15" customHeight="1" outlineLevel="2">
      <c r="A23" s="311" t="s">
        <v>39</v>
      </c>
      <c r="B23" s="263" t="s">
        <v>305</v>
      </c>
      <c r="C23" s="262"/>
      <c r="D23" s="264" t="s">
        <v>304</v>
      </c>
      <c r="E23" s="260">
        <f>4581040.21</f>
        <v>4581040.21</v>
      </c>
      <c r="F23" s="259">
        <f>8145720.52</f>
        <v>8145720.5199999996</v>
      </c>
      <c r="G23" s="259">
        <f>4831360</f>
        <v>4831360</v>
      </c>
      <c r="H23" s="258">
        <f>2942515.57</f>
        <v>2942515.57</v>
      </c>
      <c r="I23" s="257">
        <f>3113269</f>
        <v>3113269</v>
      </c>
      <c r="J23" s="256">
        <f>3705017</f>
        <v>3705017</v>
      </c>
      <c r="K23" s="256">
        <f>2426327</f>
        <v>2426327</v>
      </c>
      <c r="L23" s="256">
        <f>1697417</f>
        <v>1697417</v>
      </c>
      <c r="M23" s="256">
        <f>1303340</f>
        <v>1303340</v>
      </c>
      <c r="N23" s="256">
        <f>1404150</f>
        <v>1404150</v>
      </c>
      <c r="O23" s="256">
        <f>906904</f>
        <v>906904</v>
      </c>
      <c r="P23" s="256">
        <f>947662</f>
        <v>947662</v>
      </c>
      <c r="Q23" s="256">
        <f>1196481</f>
        <v>1196481</v>
      </c>
      <c r="R23" s="256">
        <f>1211426</f>
        <v>1211426</v>
      </c>
      <c r="S23" s="256">
        <f>1186559</f>
        <v>1186559</v>
      </c>
      <c r="T23" s="256">
        <f>1315945</f>
        <v>1315945</v>
      </c>
      <c r="U23" s="256">
        <f>2571654</f>
        <v>2571654</v>
      </c>
      <c r="V23" s="256">
        <f>0</f>
        <v>0</v>
      </c>
      <c r="W23" s="256">
        <f>0</f>
        <v>0</v>
      </c>
      <c r="X23" s="256">
        <f>0</f>
        <v>0</v>
      </c>
      <c r="Y23" s="256">
        <f>0</f>
        <v>0</v>
      </c>
      <c r="Z23" s="256">
        <f>0</f>
        <v>0</v>
      </c>
      <c r="AA23" s="256">
        <f>0</f>
        <v>0</v>
      </c>
      <c r="AB23" s="256">
        <f>0</f>
        <v>0</v>
      </c>
      <c r="AC23" s="256">
        <f>0</f>
        <v>0</v>
      </c>
      <c r="AD23" s="256">
        <f>0</f>
        <v>0</v>
      </c>
      <c r="AE23" s="256">
        <f>0</f>
        <v>0</v>
      </c>
      <c r="AF23" s="256">
        <f>0</f>
        <v>0</v>
      </c>
      <c r="AG23" s="256">
        <f>0</f>
        <v>0</v>
      </c>
      <c r="AH23" s="256">
        <f>0</f>
        <v>0</v>
      </c>
      <c r="AI23" s="256">
        <f>0</f>
        <v>0</v>
      </c>
      <c r="AJ23" s="256">
        <f>0</f>
        <v>0</v>
      </c>
      <c r="AK23" s="256">
        <f>0</f>
        <v>0</v>
      </c>
      <c r="AL23" s="255">
        <f>0</f>
        <v>0</v>
      </c>
    </row>
    <row r="24" spans="1:39" ht="15" customHeight="1" outlineLevel="1">
      <c r="A24" s="311" t="s">
        <v>39</v>
      </c>
      <c r="B24" s="273">
        <v>3</v>
      </c>
      <c r="C24" s="272"/>
      <c r="D24" s="271" t="s">
        <v>303</v>
      </c>
      <c r="E24" s="281">
        <f>-2404070.91</f>
        <v>-2404070.91</v>
      </c>
      <c r="F24" s="280">
        <f>-6401042.84</f>
        <v>-6401042.8399999999</v>
      </c>
      <c r="G24" s="280">
        <f>-2236019</f>
        <v>-2236019</v>
      </c>
      <c r="H24" s="279">
        <f>101831.3</f>
        <v>101831.3</v>
      </c>
      <c r="I24" s="278">
        <f>-412000</f>
        <v>-412000</v>
      </c>
      <c r="J24" s="277">
        <f>500000</f>
        <v>500000</v>
      </c>
      <c r="K24" s="277">
        <f>100000</f>
        <v>100000</v>
      </c>
      <c r="L24" s="277">
        <f>400000</f>
        <v>400000</v>
      </c>
      <c r="M24" s="277">
        <f>600000</f>
        <v>600000</v>
      </c>
      <c r="N24" s="277">
        <f>600000</f>
        <v>600000</v>
      </c>
      <c r="O24" s="277">
        <f>1200000</f>
        <v>1200000</v>
      </c>
      <c r="P24" s="277">
        <f>1300000</f>
        <v>1300000</v>
      </c>
      <c r="Q24" s="277">
        <f>1200000</f>
        <v>1200000</v>
      </c>
      <c r="R24" s="277">
        <f>1330000</f>
        <v>1330000</v>
      </c>
      <c r="S24" s="277">
        <f>1510000</f>
        <v>1510000</v>
      </c>
      <c r="T24" s="277">
        <f>1548000</f>
        <v>1548000</v>
      </c>
      <c r="U24" s="277">
        <f>465000</f>
        <v>465000</v>
      </c>
      <c r="V24" s="277">
        <f>0</f>
        <v>0</v>
      </c>
      <c r="W24" s="277">
        <f>0</f>
        <v>0</v>
      </c>
      <c r="X24" s="277">
        <f>0</f>
        <v>0</v>
      </c>
      <c r="Y24" s="277">
        <f>0</f>
        <v>0</v>
      </c>
      <c r="Z24" s="277">
        <f>0</f>
        <v>0</v>
      </c>
      <c r="AA24" s="277">
        <f>0</f>
        <v>0</v>
      </c>
      <c r="AB24" s="277">
        <f>0</f>
        <v>0</v>
      </c>
      <c r="AC24" s="277">
        <f>0</f>
        <v>0</v>
      </c>
      <c r="AD24" s="277">
        <f>0</f>
        <v>0</v>
      </c>
      <c r="AE24" s="277">
        <f>0</f>
        <v>0</v>
      </c>
      <c r="AF24" s="277">
        <f>0</f>
        <v>0</v>
      </c>
      <c r="AG24" s="277">
        <f>0</f>
        <v>0</v>
      </c>
      <c r="AH24" s="277">
        <f>0</f>
        <v>0</v>
      </c>
      <c r="AI24" s="277">
        <f>0</f>
        <v>0</v>
      </c>
      <c r="AJ24" s="277">
        <f>0</f>
        <v>0</v>
      </c>
      <c r="AK24" s="277">
        <f>0</f>
        <v>0</v>
      </c>
      <c r="AL24" s="276">
        <f>0</f>
        <v>0</v>
      </c>
      <c r="AM24" s="30"/>
    </row>
    <row r="25" spans="1:39" ht="15" customHeight="1" outlineLevel="1">
      <c r="A25" s="311" t="s">
        <v>39</v>
      </c>
      <c r="B25" s="273">
        <v>4</v>
      </c>
      <c r="C25" s="272"/>
      <c r="D25" s="271" t="s">
        <v>302</v>
      </c>
      <c r="E25" s="281">
        <f>5530000</f>
        <v>5530000</v>
      </c>
      <c r="F25" s="280">
        <f>8395000</f>
        <v>8395000</v>
      </c>
      <c r="G25" s="280">
        <f>5686791</f>
        <v>5686791</v>
      </c>
      <c r="H25" s="279">
        <f>5432306.84</f>
        <v>5432306.8399999999</v>
      </c>
      <c r="I25" s="278">
        <f>2517000</f>
        <v>2517000</v>
      </c>
      <c r="J25" s="277">
        <f>0</f>
        <v>0</v>
      </c>
      <c r="K25" s="277">
        <f>0</f>
        <v>0</v>
      </c>
      <c r="L25" s="277">
        <f>0</f>
        <v>0</v>
      </c>
      <c r="M25" s="277">
        <f>0</f>
        <v>0</v>
      </c>
      <c r="N25" s="277">
        <f>0</f>
        <v>0</v>
      </c>
      <c r="O25" s="277">
        <f>0</f>
        <v>0</v>
      </c>
      <c r="P25" s="277">
        <f>0</f>
        <v>0</v>
      </c>
      <c r="Q25" s="277">
        <f>0</f>
        <v>0</v>
      </c>
      <c r="R25" s="277">
        <f>0</f>
        <v>0</v>
      </c>
      <c r="S25" s="277">
        <f>0</f>
        <v>0</v>
      </c>
      <c r="T25" s="277">
        <f>0</f>
        <v>0</v>
      </c>
      <c r="U25" s="277">
        <f>0</f>
        <v>0</v>
      </c>
      <c r="V25" s="277">
        <f>0</f>
        <v>0</v>
      </c>
      <c r="W25" s="277">
        <f>0</f>
        <v>0</v>
      </c>
      <c r="X25" s="277">
        <f>0</f>
        <v>0</v>
      </c>
      <c r="Y25" s="277">
        <f>0</f>
        <v>0</v>
      </c>
      <c r="Z25" s="277">
        <f>0</f>
        <v>0</v>
      </c>
      <c r="AA25" s="277">
        <f>0</f>
        <v>0</v>
      </c>
      <c r="AB25" s="277">
        <f>0</f>
        <v>0</v>
      </c>
      <c r="AC25" s="277">
        <f>0</f>
        <v>0</v>
      </c>
      <c r="AD25" s="277">
        <f>0</f>
        <v>0</v>
      </c>
      <c r="AE25" s="277">
        <f>0</f>
        <v>0</v>
      </c>
      <c r="AF25" s="277">
        <f>0</f>
        <v>0</v>
      </c>
      <c r="AG25" s="277">
        <f>0</f>
        <v>0</v>
      </c>
      <c r="AH25" s="277">
        <f>0</f>
        <v>0</v>
      </c>
      <c r="AI25" s="277">
        <f>0</f>
        <v>0</v>
      </c>
      <c r="AJ25" s="277">
        <f>0</f>
        <v>0</v>
      </c>
      <c r="AK25" s="277">
        <f>0</f>
        <v>0</v>
      </c>
      <c r="AL25" s="276">
        <f>0</f>
        <v>0</v>
      </c>
      <c r="AM25" s="30"/>
    </row>
    <row r="26" spans="1:39" ht="15" customHeight="1" outlineLevel="2">
      <c r="A26" s="311" t="s">
        <v>39</v>
      </c>
      <c r="B26" s="263" t="s">
        <v>301</v>
      </c>
      <c r="C26" s="262"/>
      <c r="D26" s="264" t="s">
        <v>300</v>
      </c>
      <c r="E26" s="260">
        <f>0</f>
        <v>0</v>
      </c>
      <c r="F26" s="259">
        <f>0</f>
        <v>0</v>
      </c>
      <c r="G26" s="259">
        <f>0</f>
        <v>0</v>
      </c>
      <c r="H26" s="258">
        <f>0</f>
        <v>0</v>
      </c>
      <c r="I26" s="257">
        <f>101831</f>
        <v>101831</v>
      </c>
      <c r="J26" s="256">
        <f>0</f>
        <v>0</v>
      </c>
      <c r="K26" s="256">
        <f>0</f>
        <v>0</v>
      </c>
      <c r="L26" s="256">
        <f>0</f>
        <v>0</v>
      </c>
      <c r="M26" s="256">
        <f>0</f>
        <v>0</v>
      </c>
      <c r="N26" s="256">
        <f>0</f>
        <v>0</v>
      </c>
      <c r="O26" s="256">
        <f>0</f>
        <v>0</v>
      </c>
      <c r="P26" s="256">
        <f>0</f>
        <v>0</v>
      </c>
      <c r="Q26" s="256">
        <f>0</f>
        <v>0</v>
      </c>
      <c r="R26" s="256">
        <f>0</f>
        <v>0</v>
      </c>
      <c r="S26" s="256">
        <f>0</f>
        <v>0</v>
      </c>
      <c r="T26" s="256">
        <f>0</f>
        <v>0</v>
      </c>
      <c r="U26" s="256">
        <f>0</f>
        <v>0</v>
      </c>
      <c r="V26" s="256">
        <f>0</f>
        <v>0</v>
      </c>
      <c r="W26" s="256">
        <f>0</f>
        <v>0</v>
      </c>
      <c r="X26" s="256">
        <f>0</f>
        <v>0</v>
      </c>
      <c r="Y26" s="256">
        <f>0</f>
        <v>0</v>
      </c>
      <c r="Z26" s="256">
        <f>0</f>
        <v>0</v>
      </c>
      <c r="AA26" s="256">
        <f>0</f>
        <v>0</v>
      </c>
      <c r="AB26" s="256">
        <f>0</f>
        <v>0</v>
      </c>
      <c r="AC26" s="256">
        <f>0</f>
        <v>0</v>
      </c>
      <c r="AD26" s="256">
        <f>0</f>
        <v>0</v>
      </c>
      <c r="AE26" s="256">
        <f>0</f>
        <v>0</v>
      </c>
      <c r="AF26" s="256">
        <f>0</f>
        <v>0</v>
      </c>
      <c r="AG26" s="256">
        <f>0</f>
        <v>0</v>
      </c>
      <c r="AH26" s="256">
        <f>0</f>
        <v>0</v>
      </c>
      <c r="AI26" s="256">
        <f>0</f>
        <v>0</v>
      </c>
      <c r="AJ26" s="256">
        <f>0</f>
        <v>0</v>
      </c>
      <c r="AK26" s="256">
        <f>0</f>
        <v>0</v>
      </c>
      <c r="AL26" s="255">
        <f>0</f>
        <v>0</v>
      </c>
    </row>
    <row r="27" spans="1:39" ht="15" customHeight="1" outlineLevel="3">
      <c r="A27" s="311" t="s">
        <v>39</v>
      </c>
      <c r="B27" s="263" t="s">
        <v>299</v>
      </c>
      <c r="C27" s="262"/>
      <c r="D27" s="261" t="s">
        <v>289</v>
      </c>
      <c r="E27" s="260">
        <f>0</f>
        <v>0</v>
      </c>
      <c r="F27" s="259">
        <f>0</f>
        <v>0</v>
      </c>
      <c r="G27" s="259">
        <f>0</f>
        <v>0</v>
      </c>
      <c r="H27" s="258">
        <f>0</f>
        <v>0</v>
      </c>
      <c r="I27" s="257">
        <f>0</f>
        <v>0</v>
      </c>
      <c r="J27" s="256">
        <f>0</f>
        <v>0</v>
      </c>
      <c r="K27" s="256">
        <f>0</f>
        <v>0</v>
      </c>
      <c r="L27" s="256">
        <f>0</f>
        <v>0</v>
      </c>
      <c r="M27" s="256">
        <f>0</f>
        <v>0</v>
      </c>
      <c r="N27" s="256">
        <f>0</f>
        <v>0</v>
      </c>
      <c r="O27" s="256">
        <f>0</f>
        <v>0</v>
      </c>
      <c r="P27" s="256">
        <f>0</f>
        <v>0</v>
      </c>
      <c r="Q27" s="256">
        <f>0</f>
        <v>0</v>
      </c>
      <c r="R27" s="256">
        <f>0</f>
        <v>0</v>
      </c>
      <c r="S27" s="256">
        <f>0</f>
        <v>0</v>
      </c>
      <c r="T27" s="256">
        <f>0</f>
        <v>0</v>
      </c>
      <c r="U27" s="256">
        <f>0</f>
        <v>0</v>
      </c>
      <c r="V27" s="256">
        <f>0</f>
        <v>0</v>
      </c>
      <c r="W27" s="256">
        <f>0</f>
        <v>0</v>
      </c>
      <c r="X27" s="256">
        <f>0</f>
        <v>0</v>
      </c>
      <c r="Y27" s="256">
        <f>0</f>
        <v>0</v>
      </c>
      <c r="Z27" s="256">
        <f>0</f>
        <v>0</v>
      </c>
      <c r="AA27" s="256">
        <f>0</f>
        <v>0</v>
      </c>
      <c r="AB27" s="256">
        <f>0</f>
        <v>0</v>
      </c>
      <c r="AC27" s="256">
        <f>0</f>
        <v>0</v>
      </c>
      <c r="AD27" s="256">
        <f>0</f>
        <v>0</v>
      </c>
      <c r="AE27" s="256">
        <f>0</f>
        <v>0</v>
      </c>
      <c r="AF27" s="256">
        <f>0</f>
        <v>0</v>
      </c>
      <c r="AG27" s="256">
        <f>0</f>
        <v>0</v>
      </c>
      <c r="AH27" s="256">
        <f>0</f>
        <v>0</v>
      </c>
      <c r="AI27" s="256">
        <f>0</f>
        <v>0</v>
      </c>
      <c r="AJ27" s="256">
        <f>0</f>
        <v>0</v>
      </c>
      <c r="AK27" s="256">
        <f>0</f>
        <v>0</v>
      </c>
      <c r="AL27" s="255">
        <f>0</f>
        <v>0</v>
      </c>
    </row>
    <row r="28" spans="1:39" ht="15" customHeight="1" outlineLevel="2">
      <c r="A28" s="311" t="s">
        <v>39</v>
      </c>
      <c r="B28" s="263" t="s">
        <v>298</v>
      </c>
      <c r="C28" s="262"/>
      <c r="D28" s="264" t="s">
        <v>297</v>
      </c>
      <c r="E28" s="260">
        <f>0</f>
        <v>0</v>
      </c>
      <c r="F28" s="259">
        <f>0</f>
        <v>0</v>
      </c>
      <c r="G28" s="259">
        <f>2186791</f>
        <v>2186791</v>
      </c>
      <c r="H28" s="258">
        <f>2232306.84</f>
        <v>2232306.84</v>
      </c>
      <c r="I28" s="257">
        <f>1950169</f>
        <v>1950169</v>
      </c>
      <c r="J28" s="256">
        <f>0</f>
        <v>0</v>
      </c>
      <c r="K28" s="256">
        <f>0</f>
        <v>0</v>
      </c>
      <c r="L28" s="256">
        <f>0</f>
        <v>0</v>
      </c>
      <c r="M28" s="256">
        <f>0</f>
        <v>0</v>
      </c>
      <c r="N28" s="256">
        <f>0</f>
        <v>0</v>
      </c>
      <c r="O28" s="256">
        <f>0</f>
        <v>0</v>
      </c>
      <c r="P28" s="256">
        <f>0</f>
        <v>0</v>
      </c>
      <c r="Q28" s="256">
        <f>0</f>
        <v>0</v>
      </c>
      <c r="R28" s="256">
        <f>0</f>
        <v>0</v>
      </c>
      <c r="S28" s="256">
        <f>0</f>
        <v>0</v>
      </c>
      <c r="T28" s="256">
        <f>0</f>
        <v>0</v>
      </c>
      <c r="U28" s="256">
        <f>0</f>
        <v>0</v>
      </c>
      <c r="V28" s="256">
        <f>0</f>
        <v>0</v>
      </c>
      <c r="W28" s="256">
        <f>0</f>
        <v>0</v>
      </c>
      <c r="X28" s="256">
        <f>0</f>
        <v>0</v>
      </c>
      <c r="Y28" s="256">
        <f>0</f>
        <v>0</v>
      </c>
      <c r="Z28" s="256">
        <f>0</f>
        <v>0</v>
      </c>
      <c r="AA28" s="256">
        <f>0</f>
        <v>0</v>
      </c>
      <c r="AB28" s="256">
        <f>0</f>
        <v>0</v>
      </c>
      <c r="AC28" s="256">
        <f>0</f>
        <v>0</v>
      </c>
      <c r="AD28" s="256">
        <f>0</f>
        <v>0</v>
      </c>
      <c r="AE28" s="256">
        <f>0</f>
        <v>0</v>
      </c>
      <c r="AF28" s="256">
        <f>0</f>
        <v>0</v>
      </c>
      <c r="AG28" s="256">
        <f>0</f>
        <v>0</v>
      </c>
      <c r="AH28" s="256">
        <f>0</f>
        <v>0</v>
      </c>
      <c r="AI28" s="256">
        <f>0</f>
        <v>0</v>
      </c>
      <c r="AJ28" s="256">
        <f>0</f>
        <v>0</v>
      </c>
      <c r="AK28" s="256">
        <f>0</f>
        <v>0</v>
      </c>
      <c r="AL28" s="255">
        <f>0</f>
        <v>0</v>
      </c>
    </row>
    <row r="29" spans="1:39" ht="15" customHeight="1" outlineLevel="3">
      <c r="A29" s="311" t="s">
        <v>39</v>
      </c>
      <c r="B29" s="263" t="s">
        <v>296</v>
      </c>
      <c r="C29" s="262"/>
      <c r="D29" s="261" t="s">
        <v>289</v>
      </c>
      <c r="E29" s="260">
        <f>0</f>
        <v>0</v>
      </c>
      <c r="F29" s="259">
        <f>0</f>
        <v>0</v>
      </c>
      <c r="G29" s="259">
        <f>92653</f>
        <v>92653</v>
      </c>
      <c r="H29" s="258">
        <f>92653</f>
        <v>92653</v>
      </c>
      <c r="I29" s="257">
        <f>412000</f>
        <v>412000</v>
      </c>
      <c r="J29" s="256">
        <f>0</f>
        <v>0</v>
      </c>
      <c r="K29" s="256">
        <f>0</f>
        <v>0</v>
      </c>
      <c r="L29" s="256">
        <f>0</f>
        <v>0</v>
      </c>
      <c r="M29" s="256">
        <f>0</f>
        <v>0</v>
      </c>
      <c r="N29" s="256">
        <f>0</f>
        <v>0</v>
      </c>
      <c r="O29" s="256">
        <f>0</f>
        <v>0</v>
      </c>
      <c r="P29" s="256">
        <f>0</f>
        <v>0</v>
      </c>
      <c r="Q29" s="256">
        <f>0</f>
        <v>0</v>
      </c>
      <c r="R29" s="256">
        <f>0</f>
        <v>0</v>
      </c>
      <c r="S29" s="256">
        <f>0</f>
        <v>0</v>
      </c>
      <c r="T29" s="256">
        <f>0</f>
        <v>0</v>
      </c>
      <c r="U29" s="256">
        <f>0</f>
        <v>0</v>
      </c>
      <c r="V29" s="256">
        <f>0</f>
        <v>0</v>
      </c>
      <c r="W29" s="256">
        <f>0</f>
        <v>0</v>
      </c>
      <c r="X29" s="256">
        <f>0</f>
        <v>0</v>
      </c>
      <c r="Y29" s="256">
        <f>0</f>
        <v>0</v>
      </c>
      <c r="Z29" s="256">
        <f>0</f>
        <v>0</v>
      </c>
      <c r="AA29" s="256">
        <f>0</f>
        <v>0</v>
      </c>
      <c r="AB29" s="256">
        <f>0</f>
        <v>0</v>
      </c>
      <c r="AC29" s="256">
        <f>0</f>
        <v>0</v>
      </c>
      <c r="AD29" s="256">
        <f>0</f>
        <v>0</v>
      </c>
      <c r="AE29" s="256">
        <f>0</f>
        <v>0</v>
      </c>
      <c r="AF29" s="256">
        <f>0</f>
        <v>0</v>
      </c>
      <c r="AG29" s="256">
        <f>0</f>
        <v>0</v>
      </c>
      <c r="AH29" s="256">
        <f>0</f>
        <v>0</v>
      </c>
      <c r="AI29" s="256">
        <f>0</f>
        <v>0</v>
      </c>
      <c r="AJ29" s="256">
        <f>0</f>
        <v>0</v>
      </c>
      <c r="AK29" s="256">
        <f>0</f>
        <v>0</v>
      </c>
      <c r="AL29" s="255">
        <f>0</f>
        <v>0</v>
      </c>
    </row>
    <row r="30" spans="1:39" ht="15" customHeight="1" outlineLevel="2">
      <c r="A30" s="311" t="s">
        <v>39</v>
      </c>
      <c r="B30" s="263" t="s">
        <v>295</v>
      </c>
      <c r="C30" s="262"/>
      <c r="D30" s="264" t="s">
        <v>294</v>
      </c>
      <c r="E30" s="260">
        <f>5530000</f>
        <v>5530000</v>
      </c>
      <c r="F30" s="259">
        <f>8395000</f>
        <v>8395000</v>
      </c>
      <c r="G30" s="259">
        <f>3500000</f>
        <v>3500000</v>
      </c>
      <c r="H30" s="258">
        <f>3200000</f>
        <v>3200000</v>
      </c>
      <c r="I30" s="257">
        <f>465000</f>
        <v>465000</v>
      </c>
      <c r="J30" s="256">
        <f>0</f>
        <v>0</v>
      </c>
      <c r="K30" s="256">
        <f>0</f>
        <v>0</v>
      </c>
      <c r="L30" s="256">
        <f>0</f>
        <v>0</v>
      </c>
      <c r="M30" s="256">
        <f>0</f>
        <v>0</v>
      </c>
      <c r="N30" s="256">
        <f>0</f>
        <v>0</v>
      </c>
      <c r="O30" s="256">
        <f>0</f>
        <v>0</v>
      </c>
      <c r="P30" s="256">
        <f>0</f>
        <v>0</v>
      </c>
      <c r="Q30" s="256">
        <f>0</f>
        <v>0</v>
      </c>
      <c r="R30" s="256">
        <f>0</f>
        <v>0</v>
      </c>
      <c r="S30" s="256">
        <f>0</f>
        <v>0</v>
      </c>
      <c r="T30" s="256">
        <f>0</f>
        <v>0</v>
      </c>
      <c r="U30" s="256">
        <f>0</f>
        <v>0</v>
      </c>
      <c r="V30" s="256">
        <f>0</f>
        <v>0</v>
      </c>
      <c r="W30" s="256">
        <f>0</f>
        <v>0</v>
      </c>
      <c r="X30" s="256">
        <f>0</f>
        <v>0</v>
      </c>
      <c r="Y30" s="256">
        <f>0</f>
        <v>0</v>
      </c>
      <c r="Z30" s="256">
        <f>0</f>
        <v>0</v>
      </c>
      <c r="AA30" s="256">
        <f>0</f>
        <v>0</v>
      </c>
      <c r="AB30" s="256">
        <f>0</f>
        <v>0</v>
      </c>
      <c r="AC30" s="256">
        <f>0</f>
        <v>0</v>
      </c>
      <c r="AD30" s="256">
        <f>0</f>
        <v>0</v>
      </c>
      <c r="AE30" s="256">
        <f>0</f>
        <v>0</v>
      </c>
      <c r="AF30" s="256">
        <f>0</f>
        <v>0</v>
      </c>
      <c r="AG30" s="256">
        <f>0</f>
        <v>0</v>
      </c>
      <c r="AH30" s="256">
        <f>0</f>
        <v>0</v>
      </c>
      <c r="AI30" s="256">
        <f>0</f>
        <v>0</v>
      </c>
      <c r="AJ30" s="256">
        <f>0</f>
        <v>0</v>
      </c>
      <c r="AK30" s="256">
        <f>0</f>
        <v>0</v>
      </c>
      <c r="AL30" s="255">
        <f>0</f>
        <v>0</v>
      </c>
    </row>
    <row r="31" spans="1:39" ht="15" customHeight="1" outlineLevel="3">
      <c r="A31" s="311" t="s">
        <v>39</v>
      </c>
      <c r="B31" s="263" t="s">
        <v>293</v>
      </c>
      <c r="C31" s="262"/>
      <c r="D31" s="261" t="s">
        <v>289</v>
      </c>
      <c r="E31" s="260">
        <f>0</f>
        <v>0</v>
      </c>
      <c r="F31" s="259">
        <f>0</f>
        <v>0</v>
      </c>
      <c r="G31" s="259">
        <f>2143366</f>
        <v>2143366</v>
      </c>
      <c r="H31" s="258">
        <f>0</f>
        <v>0</v>
      </c>
      <c r="I31" s="257">
        <f>0</f>
        <v>0</v>
      </c>
      <c r="J31" s="256">
        <f>0</f>
        <v>0</v>
      </c>
      <c r="K31" s="256">
        <f>0</f>
        <v>0</v>
      </c>
      <c r="L31" s="256">
        <f>0</f>
        <v>0</v>
      </c>
      <c r="M31" s="256">
        <f>0</f>
        <v>0</v>
      </c>
      <c r="N31" s="256">
        <f>0</f>
        <v>0</v>
      </c>
      <c r="O31" s="256">
        <f>0</f>
        <v>0</v>
      </c>
      <c r="P31" s="256">
        <f>0</f>
        <v>0</v>
      </c>
      <c r="Q31" s="256">
        <f>0</f>
        <v>0</v>
      </c>
      <c r="R31" s="256">
        <f>0</f>
        <v>0</v>
      </c>
      <c r="S31" s="256">
        <f>0</f>
        <v>0</v>
      </c>
      <c r="T31" s="256">
        <f>0</f>
        <v>0</v>
      </c>
      <c r="U31" s="256">
        <f>0</f>
        <v>0</v>
      </c>
      <c r="V31" s="256">
        <f>0</f>
        <v>0</v>
      </c>
      <c r="W31" s="256">
        <f>0</f>
        <v>0</v>
      </c>
      <c r="X31" s="256">
        <f>0</f>
        <v>0</v>
      </c>
      <c r="Y31" s="256">
        <f>0</f>
        <v>0</v>
      </c>
      <c r="Z31" s="256">
        <f>0</f>
        <v>0</v>
      </c>
      <c r="AA31" s="256">
        <f>0</f>
        <v>0</v>
      </c>
      <c r="AB31" s="256">
        <f>0</f>
        <v>0</v>
      </c>
      <c r="AC31" s="256">
        <f>0</f>
        <v>0</v>
      </c>
      <c r="AD31" s="256">
        <f>0</f>
        <v>0</v>
      </c>
      <c r="AE31" s="256">
        <f>0</f>
        <v>0</v>
      </c>
      <c r="AF31" s="256">
        <f>0</f>
        <v>0</v>
      </c>
      <c r="AG31" s="256">
        <f>0</f>
        <v>0</v>
      </c>
      <c r="AH31" s="256">
        <f>0</f>
        <v>0</v>
      </c>
      <c r="AI31" s="256">
        <f>0</f>
        <v>0</v>
      </c>
      <c r="AJ31" s="256">
        <f>0</f>
        <v>0</v>
      </c>
      <c r="AK31" s="256">
        <f>0</f>
        <v>0</v>
      </c>
      <c r="AL31" s="255">
        <f>0</f>
        <v>0</v>
      </c>
    </row>
    <row r="32" spans="1:39" ht="15" customHeight="1" outlineLevel="2">
      <c r="A32" s="311" t="s">
        <v>39</v>
      </c>
      <c r="B32" s="263" t="s">
        <v>292</v>
      </c>
      <c r="C32" s="262"/>
      <c r="D32" s="264" t="s">
        <v>291</v>
      </c>
      <c r="E32" s="260">
        <f>0</f>
        <v>0</v>
      </c>
      <c r="F32" s="259">
        <f>0</f>
        <v>0</v>
      </c>
      <c r="G32" s="259">
        <f>0</f>
        <v>0</v>
      </c>
      <c r="H32" s="258">
        <f>0</f>
        <v>0</v>
      </c>
      <c r="I32" s="257">
        <f>0</f>
        <v>0</v>
      </c>
      <c r="J32" s="256">
        <f>0</f>
        <v>0</v>
      </c>
      <c r="K32" s="256">
        <f>0</f>
        <v>0</v>
      </c>
      <c r="L32" s="256">
        <f>0</f>
        <v>0</v>
      </c>
      <c r="M32" s="256">
        <f>0</f>
        <v>0</v>
      </c>
      <c r="N32" s="256">
        <f>0</f>
        <v>0</v>
      </c>
      <c r="O32" s="256">
        <f>0</f>
        <v>0</v>
      </c>
      <c r="P32" s="256">
        <f>0</f>
        <v>0</v>
      </c>
      <c r="Q32" s="256">
        <f>0</f>
        <v>0</v>
      </c>
      <c r="R32" s="256">
        <f>0</f>
        <v>0</v>
      </c>
      <c r="S32" s="256">
        <f>0</f>
        <v>0</v>
      </c>
      <c r="T32" s="256">
        <f>0</f>
        <v>0</v>
      </c>
      <c r="U32" s="256">
        <f>0</f>
        <v>0</v>
      </c>
      <c r="V32" s="256">
        <f>0</f>
        <v>0</v>
      </c>
      <c r="W32" s="256">
        <f>0</f>
        <v>0</v>
      </c>
      <c r="X32" s="256">
        <f>0</f>
        <v>0</v>
      </c>
      <c r="Y32" s="256">
        <f>0</f>
        <v>0</v>
      </c>
      <c r="Z32" s="256">
        <f>0</f>
        <v>0</v>
      </c>
      <c r="AA32" s="256">
        <f>0</f>
        <v>0</v>
      </c>
      <c r="AB32" s="256">
        <f>0</f>
        <v>0</v>
      </c>
      <c r="AC32" s="256">
        <f>0</f>
        <v>0</v>
      </c>
      <c r="AD32" s="256">
        <f>0</f>
        <v>0</v>
      </c>
      <c r="AE32" s="256">
        <f>0</f>
        <v>0</v>
      </c>
      <c r="AF32" s="256">
        <f>0</f>
        <v>0</v>
      </c>
      <c r="AG32" s="256">
        <f>0</f>
        <v>0</v>
      </c>
      <c r="AH32" s="256">
        <f>0</f>
        <v>0</v>
      </c>
      <c r="AI32" s="256">
        <f>0</f>
        <v>0</v>
      </c>
      <c r="AJ32" s="256">
        <f>0</f>
        <v>0</v>
      </c>
      <c r="AK32" s="256">
        <f>0</f>
        <v>0</v>
      </c>
      <c r="AL32" s="255">
        <f>0</f>
        <v>0</v>
      </c>
    </row>
    <row r="33" spans="1:39" ht="15" customHeight="1" outlineLevel="3">
      <c r="A33" s="311" t="s">
        <v>39</v>
      </c>
      <c r="B33" s="263" t="s">
        <v>290</v>
      </c>
      <c r="C33" s="262"/>
      <c r="D33" s="261" t="s">
        <v>289</v>
      </c>
      <c r="E33" s="260">
        <f>0</f>
        <v>0</v>
      </c>
      <c r="F33" s="259">
        <f>0</f>
        <v>0</v>
      </c>
      <c r="G33" s="259">
        <f>0</f>
        <v>0</v>
      </c>
      <c r="H33" s="258">
        <f>0</f>
        <v>0</v>
      </c>
      <c r="I33" s="257">
        <f>0</f>
        <v>0</v>
      </c>
      <c r="J33" s="256">
        <f>0</f>
        <v>0</v>
      </c>
      <c r="K33" s="256">
        <f>0</f>
        <v>0</v>
      </c>
      <c r="L33" s="256">
        <f>0</f>
        <v>0</v>
      </c>
      <c r="M33" s="256">
        <f>0</f>
        <v>0</v>
      </c>
      <c r="N33" s="256">
        <f>0</f>
        <v>0</v>
      </c>
      <c r="O33" s="256">
        <f>0</f>
        <v>0</v>
      </c>
      <c r="P33" s="256">
        <f>0</f>
        <v>0</v>
      </c>
      <c r="Q33" s="256">
        <f>0</f>
        <v>0</v>
      </c>
      <c r="R33" s="256">
        <f>0</f>
        <v>0</v>
      </c>
      <c r="S33" s="256">
        <f>0</f>
        <v>0</v>
      </c>
      <c r="T33" s="256">
        <f>0</f>
        <v>0</v>
      </c>
      <c r="U33" s="256">
        <f>0</f>
        <v>0</v>
      </c>
      <c r="V33" s="256">
        <f>0</f>
        <v>0</v>
      </c>
      <c r="W33" s="256">
        <f>0</f>
        <v>0</v>
      </c>
      <c r="X33" s="256">
        <f>0</f>
        <v>0</v>
      </c>
      <c r="Y33" s="256">
        <f>0</f>
        <v>0</v>
      </c>
      <c r="Z33" s="256">
        <f>0</f>
        <v>0</v>
      </c>
      <c r="AA33" s="256">
        <f>0</f>
        <v>0</v>
      </c>
      <c r="AB33" s="256">
        <f>0</f>
        <v>0</v>
      </c>
      <c r="AC33" s="256">
        <f>0</f>
        <v>0</v>
      </c>
      <c r="AD33" s="256">
        <f>0</f>
        <v>0</v>
      </c>
      <c r="AE33" s="256">
        <f>0</f>
        <v>0</v>
      </c>
      <c r="AF33" s="256">
        <f>0</f>
        <v>0</v>
      </c>
      <c r="AG33" s="256">
        <f>0</f>
        <v>0</v>
      </c>
      <c r="AH33" s="256">
        <f>0</f>
        <v>0</v>
      </c>
      <c r="AI33" s="256">
        <f>0</f>
        <v>0</v>
      </c>
      <c r="AJ33" s="256">
        <f>0</f>
        <v>0</v>
      </c>
      <c r="AK33" s="256">
        <f>0</f>
        <v>0</v>
      </c>
      <c r="AL33" s="255">
        <f>0</f>
        <v>0</v>
      </c>
    </row>
    <row r="34" spans="1:39" ht="15" customHeight="1" outlineLevel="1">
      <c r="A34" s="311" t="s">
        <v>39</v>
      </c>
      <c r="B34" s="273">
        <v>5</v>
      </c>
      <c r="C34" s="272"/>
      <c r="D34" s="271" t="s">
        <v>288</v>
      </c>
      <c r="E34" s="281">
        <f>265120.73</f>
        <v>265120.73</v>
      </c>
      <c r="F34" s="280">
        <f>2901028.68</f>
        <v>2901028.68</v>
      </c>
      <c r="G34" s="280">
        <f>3450772</f>
        <v>3450772</v>
      </c>
      <c r="H34" s="279">
        <f>3420740.93</f>
        <v>3420740.93</v>
      </c>
      <c r="I34" s="278">
        <f>2105000</f>
        <v>2105000</v>
      </c>
      <c r="J34" s="277">
        <f>500000</f>
        <v>500000</v>
      </c>
      <c r="K34" s="277">
        <f>100000</f>
        <v>100000</v>
      </c>
      <c r="L34" s="277">
        <f>400000</f>
        <v>400000</v>
      </c>
      <c r="M34" s="277">
        <f>600000</f>
        <v>600000</v>
      </c>
      <c r="N34" s="277">
        <f>600000</f>
        <v>600000</v>
      </c>
      <c r="O34" s="277">
        <f>1200000</f>
        <v>1200000</v>
      </c>
      <c r="P34" s="277">
        <f>1300000</f>
        <v>1300000</v>
      </c>
      <c r="Q34" s="277">
        <f>1200000</f>
        <v>1200000</v>
      </c>
      <c r="R34" s="277">
        <f>1330000</f>
        <v>1330000</v>
      </c>
      <c r="S34" s="277">
        <f>1510000</f>
        <v>1510000</v>
      </c>
      <c r="T34" s="277">
        <f>1548000</f>
        <v>1548000</v>
      </c>
      <c r="U34" s="277">
        <f>465000</f>
        <v>465000</v>
      </c>
      <c r="V34" s="277">
        <f>0</f>
        <v>0</v>
      </c>
      <c r="W34" s="277">
        <f>0</f>
        <v>0</v>
      </c>
      <c r="X34" s="277">
        <f>0</f>
        <v>0</v>
      </c>
      <c r="Y34" s="277">
        <f>0</f>
        <v>0</v>
      </c>
      <c r="Z34" s="277">
        <f>0</f>
        <v>0</v>
      </c>
      <c r="AA34" s="277">
        <f>0</f>
        <v>0</v>
      </c>
      <c r="AB34" s="277">
        <f>0</f>
        <v>0</v>
      </c>
      <c r="AC34" s="277">
        <f>0</f>
        <v>0</v>
      </c>
      <c r="AD34" s="277">
        <f>0</f>
        <v>0</v>
      </c>
      <c r="AE34" s="277">
        <f>0</f>
        <v>0</v>
      </c>
      <c r="AF34" s="277">
        <f>0</f>
        <v>0</v>
      </c>
      <c r="AG34" s="277">
        <f>0</f>
        <v>0</v>
      </c>
      <c r="AH34" s="277">
        <f>0</f>
        <v>0</v>
      </c>
      <c r="AI34" s="277">
        <f>0</f>
        <v>0</v>
      </c>
      <c r="AJ34" s="277">
        <f>0</f>
        <v>0</v>
      </c>
      <c r="AK34" s="277">
        <f>0</f>
        <v>0</v>
      </c>
      <c r="AL34" s="276">
        <f>0</f>
        <v>0</v>
      </c>
      <c r="AM34" s="30"/>
    </row>
    <row r="35" spans="1:39" ht="15" customHeight="1" outlineLevel="2">
      <c r="A35" s="311" t="s">
        <v>39</v>
      </c>
      <c r="B35" s="263" t="s">
        <v>287</v>
      </c>
      <c r="C35" s="262"/>
      <c r="D35" s="264" t="s">
        <v>286</v>
      </c>
      <c r="E35" s="260">
        <f>265120.73</f>
        <v>265120.73</v>
      </c>
      <c r="F35" s="259">
        <f>2901028.68</f>
        <v>2901028.68</v>
      </c>
      <c r="G35" s="259">
        <f>3450772</f>
        <v>3450772</v>
      </c>
      <c r="H35" s="258">
        <f>3420740.93</f>
        <v>3420740.93</v>
      </c>
      <c r="I35" s="257">
        <f>2105000</f>
        <v>2105000</v>
      </c>
      <c r="J35" s="256">
        <f>500000</f>
        <v>500000</v>
      </c>
      <c r="K35" s="256">
        <f>100000</f>
        <v>100000</v>
      </c>
      <c r="L35" s="256">
        <f>400000</f>
        <v>400000</v>
      </c>
      <c r="M35" s="256">
        <f>600000</f>
        <v>600000</v>
      </c>
      <c r="N35" s="256">
        <f>600000</f>
        <v>600000</v>
      </c>
      <c r="O35" s="256">
        <f>1200000</f>
        <v>1200000</v>
      </c>
      <c r="P35" s="256">
        <f>1300000</f>
        <v>1300000</v>
      </c>
      <c r="Q35" s="256">
        <f>1200000</f>
        <v>1200000</v>
      </c>
      <c r="R35" s="256">
        <f>1330000</f>
        <v>1330000</v>
      </c>
      <c r="S35" s="256">
        <f>1510000</f>
        <v>1510000</v>
      </c>
      <c r="T35" s="256">
        <f>1548000</f>
        <v>1548000</v>
      </c>
      <c r="U35" s="256">
        <f>465000</f>
        <v>465000</v>
      </c>
      <c r="V35" s="256">
        <f>0</f>
        <v>0</v>
      </c>
      <c r="W35" s="256">
        <f>0</f>
        <v>0</v>
      </c>
      <c r="X35" s="256">
        <f>0</f>
        <v>0</v>
      </c>
      <c r="Y35" s="256">
        <f>0</f>
        <v>0</v>
      </c>
      <c r="Z35" s="256">
        <f>0</f>
        <v>0</v>
      </c>
      <c r="AA35" s="256">
        <f>0</f>
        <v>0</v>
      </c>
      <c r="AB35" s="256">
        <f>0</f>
        <v>0</v>
      </c>
      <c r="AC35" s="256">
        <f>0</f>
        <v>0</v>
      </c>
      <c r="AD35" s="256">
        <f>0</f>
        <v>0</v>
      </c>
      <c r="AE35" s="256">
        <f>0</f>
        <v>0</v>
      </c>
      <c r="AF35" s="256">
        <f>0</f>
        <v>0</v>
      </c>
      <c r="AG35" s="256">
        <f>0</f>
        <v>0</v>
      </c>
      <c r="AH35" s="256">
        <f>0</f>
        <v>0</v>
      </c>
      <c r="AI35" s="256">
        <f>0</f>
        <v>0</v>
      </c>
      <c r="AJ35" s="256">
        <f>0</f>
        <v>0</v>
      </c>
      <c r="AK35" s="256">
        <f>0</f>
        <v>0</v>
      </c>
      <c r="AL35" s="255">
        <f>0</f>
        <v>0</v>
      </c>
    </row>
    <row r="36" spans="1:39" ht="62.25" customHeight="1" outlineLevel="3">
      <c r="A36" s="311" t="s">
        <v>39</v>
      </c>
      <c r="B36" s="263" t="s">
        <v>285</v>
      </c>
      <c r="C36" s="262"/>
      <c r="D36" s="261" t="s">
        <v>284</v>
      </c>
      <c r="E36" s="260">
        <f>0</f>
        <v>0</v>
      </c>
      <c r="F36" s="259">
        <f>0</f>
        <v>0</v>
      </c>
      <c r="G36" s="259">
        <f>0</f>
        <v>0</v>
      </c>
      <c r="H36" s="258">
        <f>2698000</f>
        <v>2698000</v>
      </c>
      <c r="I36" s="257">
        <f>1017716</f>
        <v>1017716</v>
      </c>
      <c r="J36" s="256">
        <f>500000</f>
        <v>500000</v>
      </c>
      <c r="K36" s="256">
        <f>0</f>
        <v>0</v>
      </c>
      <c r="L36" s="256">
        <f>0</f>
        <v>0</v>
      </c>
      <c r="M36" s="256">
        <f>0</f>
        <v>0</v>
      </c>
      <c r="N36" s="256">
        <f>0</f>
        <v>0</v>
      </c>
      <c r="O36" s="256">
        <f>0</f>
        <v>0</v>
      </c>
      <c r="P36" s="256">
        <f>0</f>
        <v>0</v>
      </c>
      <c r="Q36" s="256">
        <f>0</f>
        <v>0</v>
      </c>
      <c r="R36" s="256">
        <f>0</f>
        <v>0</v>
      </c>
      <c r="S36" s="256">
        <f>0</f>
        <v>0</v>
      </c>
      <c r="T36" s="256">
        <f>0</f>
        <v>0</v>
      </c>
      <c r="U36" s="256">
        <f>0</f>
        <v>0</v>
      </c>
      <c r="V36" s="256">
        <f>0</f>
        <v>0</v>
      </c>
      <c r="W36" s="256">
        <f>0</f>
        <v>0</v>
      </c>
      <c r="X36" s="256">
        <f>0</f>
        <v>0</v>
      </c>
      <c r="Y36" s="256">
        <f>0</f>
        <v>0</v>
      </c>
      <c r="Z36" s="256">
        <f>0</f>
        <v>0</v>
      </c>
      <c r="AA36" s="256">
        <f>0</f>
        <v>0</v>
      </c>
      <c r="AB36" s="256">
        <f>0</f>
        <v>0</v>
      </c>
      <c r="AC36" s="256">
        <f>0</f>
        <v>0</v>
      </c>
      <c r="AD36" s="256">
        <f>0</f>
        <v>0</v>
      </c>
      <c r="AE36" s="256">
        <f>0</f>
        <v>0</v>
      </c>
      <c r="AF36" s="256">
        <f>0</f>
        <v>0</v>
      </c>
      <c r="AG36" s="256">
        <f>0</f>
        <v>0</v>
      </c>
      <c r="AH36" s="256">
        <f>0</f>
        <v>0</v>
      </c>
      <c r="AI36" s="256">
        <f>0</f>
        <v>0</v>
      </c>
      <c r="AJ36" s="256">
        <f>0</f>
        <v>0</v>
      </c>
      <c r="AK36" s="256">
        <f>0</f>
        <v>0</v>
      </c>
      <c r="AL36" s="255">
        <f>0</f>
        <v>0</v>
      </c>
    </row>
    <row r="37" spans="1:39" ht="25.5" customHeight="1" outlineLevel="3">
      <c r="A37" s="311" t="s">
        <v>39</v>
      </c>
      <c r="B37" s="263" t="s">
        <v>283</v>
      </c>
      <c r="C37" s="262"/>
      <c r="D37" s="275" t="s">
        <v>282</v>
      </c>
      <c r="E37" s="260">
        <f>0</f>
        <v>0</v>
      </c>
      <c r="F37" s="259">
        <f>2179658</f>
        <v>2179658</v>
      </c>
      <c r="G37" s="259">
        <f>2698000</f>
        <v>2698000</v>
      </c>
      <c r="H37" s="258">
        <f>2698000</f>
        <v>2698000</v>
      </c>
      <c r="I37" s="257">
        <f>1017716</f>
        <v>1017716</v>
      </c>
      <c r="J37" s="256">
        <f>500000</f>
        <v>500000</v>
      </c>
      <c r="K37" s="256">
        <f>0</f>
        <v>0</v>
      </c>
      <c r="L37" s="256">
        <f>0</f>
        <v>0</v>
      </c>
      <c r="M37" s="256">
        <f>0</f>
        <v>0</v>
      </c>
      <c r="N37" s="256">
        <f>0</f>
        <v>0</v>
      </c>
      <c r="O37" s="256">
        <f>0</f>
        <v>0</v>
      </c>
      <c r="P37" s="256">
        <f>0</f>
        <v>0</v>
      </c>
      <c r="Q37" s="256">
        <f>0</f>
        <v>0</v>
      </c>
      <c r="R37" s="256">
        <f>0</f>
        <v>0</v>
      </c>
      <c r="S37" s="256">
        <f>0</f>
        <v>0</v>
      </c>
      <c r="T37" s="256">
        <f>0</f>
        <v>0</v>
      </c>
      <c r="U37" s="256">
        <f>0</f>
        <v>0</v>
      </c>
      <c r="V37" s="256">
        <f>0</f>
        <v>0</v>
      </c>
      <c r="W37" s="256">
        <f>0</f>
        <v>0</v>
      </c>
      <c r="X37" s="256">
        <f>0</f>
        <v>0</v>
      </c>
      <c r="Y37" s="256">
        <f>0</f>
        <v>0</v>
      </c>
      <c r="Z37" s="256">
        <f>0</f>
        <v>0</v>
      </c>
      <c r="AA37" s="256">
        <f>0</f>
        <v>0</v>
      </c>
      <c r="AB37" s="256">
        <f>0</f>
        <v>0</v>
      </c>
      <c r="AC37" s="256">
        <f>0</f>
        <v>0</v>
      </c>
      <c r="AD37" s="256">
        <f>0</f>
        <v>0</v>
      </c>
      <c r="AE37" s="256">
        <f>0</f>
        <v>0</v>
      </c>
      <c r="AF37" s="256">
        <f>0</f>
        <v>0</v>
      </c>
      <c r="AG37" s="256">
        <f>0</f>
        <v>0</v>
      </c>
      <c r="AH37" s="256">
        <f>0</f>
        <v>0</v>
      </c>
      <c r="AI37" s="256">
        <f>0</f>
        <v>0</v>
      </c>
      <c r="AJ37" s="256">
        <f>0</f>
        <v>0</v>
      </c>
      <c r="AK37" s="256">
        <f>0</f>
        <v>0</v>
      </c>
      <c r="AL37" s="255">
        <f>0</f>
        <v>0</v>
      </c>
    </row>
    <row r="38" spans="1:39" ht="15" customHeight="1" outlineLevel="2">
      <c r="B38" s="263" t="s">
        <v>281</v>
      </c>
      <c r="C38" s="262"/>
      <c r="D38" s="264" t="s">
        <v>280</v>
      </c>
      <c r="E38" s="260">
        <f>0</f>
        <v>0</v>
      </c>
      <c r="F38" s="259">
        <f>0</f>
        <v>0</v>
      </c>
      <c r="G38" s="259">
        <f>0</f>
        <v>0</v>
      </c>
      <c r="H38" s="258">
        <f>0</f>
        <v>0</v>
      </c>
      <c r="I38" s="257">
        <f>0</f>
        <v>0</v>
      </c>
      <c r="J38" s="256">
        <f>0</f>
        <v>0</v>
      </c>
      <c r="K38" s="256">
        <f>0</f>
        <v>0</v>
      </c>
      <c r="L38" s="256">
        <f>0</f>
        <v>0</v>
      </c>
      <c r="M38" s="256">
        <f>0</f>
        <v>0</v>
      </c>
      <c r="N38" s="256">
        <f>0</f>
        <v>0</v>
      </c>
      <c r="O38" s="256">
        <f>0</f>
        <v>0</v>
      </c>
      <c r="P38" s="256">
        <f>0</f>
        <v>0</v>
      </c>
      <c r="Q38" s="256">
        <f>0</f>
        <v>0</v>
      </c>
      <c r="R38" s="256">
        <f>0</f>
        <v>0</v>
      </c>
      <c r="S38" s="256">
        <f>0</f>
        <v>0</v>
      </c>
      <c r="T38" s="256">
        <f>0</f>
        <v>0</v>
      </c>
      <c r="U38" s="256">
        <f>0</f>
        <v>0</v>
      </c>
      <c r="V38" s="256">
        <f>0</f>
        <v>0</v>
      </c>
      <c r="W38" s="256">
        <f>0</f>
        <v>0</v>
      </c>
      <c r="X38" s="256">
        <f>0</f>
        <v>0</v>
      </c>
      <c r="Y38" s="256">
        <f>0</f>
        <v>0</v>
      </c>
      <c r="Z38" s="256">
        <f>0</f>
        <v>0</v>
      </c>
      <c r="AA38" s="256">
        <f>0</f>
        <v>0</v>
      </c>
      <c r="AB38" s="256">
        <f>0</f>
        <v>0</v>
      </c>
      <c r="AC38" s="256">
        <f>0</f>
        <v>0</v>
      </c>
      <c r="AD38" s="256">
        <f>0</f>
        <v>0</v>
      </c>
      <c r="AE38" s="256">
        <f>0</f>
        <v>0</v>
      </c>
      <c r="AF38" s="256">
        <f>0</f>
        <v>0</v>
      </c>
      <c r="AG38" s="256">
        <f>0</f>
        <v>0</v>
      </c>
      <c r="AH38" s="256">
        <f>0</f>
        <v>0</v>
      </c>
      <c r="AI38" s="256">
        <f>0</f>
        <v>0</v>
      </c>
      <c r="AJ38" s="256">
        <f>0</f>
        <v>0</v>
      </c>
      <c r="AK38" s="256">
        <f>0</f>
        <v>0</v>
      </c>
      <c r="AL38" s="255">
        <f>0</f>
        <v>0</v>
      </c>
    </row>
    <row r="39" spans="1:39" ht="15" customHeight="1" outlineLevel="1">
      <c r="A39" s="311" t="s">
        <v>39</v>
      </c>
      <c r="B39" s="273">
        <v>6</v>
      </c>
      <c r="C39" s="272"/>
      <c r="D39" s="271" t="s">
        <v>279</v>
      </c>
      <c r="E39" s="281">
        <f>7081097.47</f>
        <v>7081097.4699999997</v>
      </c>
      <c r="F39" s="280">
        <f>12619063.17</f>
        <v>12619063.17</v>
      </c>
      <c r="G39" s="280">
        <f>12697841</f>
        <v>12697841</v>
      </c>
      <c r="H39" s="279">
        <f>12435799.45</f>
        <v>12435799.449999999</v>
      </c>
      <c r="I39" s="278">
        <f>10772700</f>
        <v>10772700</v>
      </c>
      <c r="J39" s="277">
        <f>10262850</f>
        <v>10262850</v>
      </c>
      <c r="K39" s="277">
        <f>10153000</f>
        <v>10153000</v>
      </c>
      <c r="L39" s="277">
        <f>9753000</f>
        <v>9753000</v>
      </c>
      <c r="M39" s="277">
        <f>9153000</f>
        <v>9153000</v>
      </c>
      <c r="N39" s="277">
        <f>8553000</f>
        <v>8553000</v>
      </c>
      <c r="O39" s="277">
        <f>7353000</f>
        <v>7353000</v>
      </c>
      <c r="P39" s="277">
        <f>6053000</f>
        <v>6053000</v>
      </c>
      <c r="Q39" s="277">
        <f>4853000</f>
        <v>4853000</v>
      </c>
      <c r="R39" s="277">
        <f>3523000</f>
        <v>3523000</v>
      </c>
      <c r="S39" s="277">
        <f>2013000</f>
        <v>2013000</v>
      </c>
      <c r="T39" s="277">
        <f>465000</f>
        <v>465000</v>
      </c>
      <c r="U39" s="277">
        <f>0</f>
        <v>0</v>
      </c>
      <c r="V39" s="277">
        <f>0</f>
        <v>0</v>
      </c>
      <c r="W39" s="277">
        <f>0</f>
        <v>0</v>
      </c>
      <c r="X39" s="277">
        <f>0</f>
        <v>0</v>
      </c>
      <c r="Y39" s="277">
        <f>0</f>
        <v>0</v>
      </c>
      <c r="Z39" s="277">
        <f>0</f>
        <v>0</v>
      </c>
      <c r="AA39" s="277">
        <f>0</f>
        <v>0</v>
      </c>
      <c r="AB39" s="277">
        <f>0</f>
        <v>0</v>
      </c>
      <c r="AC39" s="277">
        <f>0</f>
        <v>0</v>
      </c>
      <c r="AD39" s="277">
        <f>0</f>
        <v>0</v>
      </c>
      <c r="AE39" s="277">
        <f>0</f>
        <v>0</v>
      </c>
      <c r="AF39" s="277">
        <f>0</f>
        <v>0</v>
      </c>
      <c r="AG39" s="277">
        <f>0</f>
        <v>0</v>
      </c>
      <c r="AH39" s="277">
        <f>0</f>
        <v>0</v>
      </c>
      <c r="AI39" s="277">
        <f>0</f>
        <v>0</v>
      </c>
      <c r="AJ39" s="277">
        <f>0</f>
        <v>0</v>
      </c>
      <c r="AK39" s="277">
        <f>0</f>
        <v>0</v>
      </c>
      <c r="AL39" s="276">
        <f>0</f>
        <v>0</v>
      </c>
      <c r="AM39" s="30"/>
    </row>
    <row r="40" spans="1:39" ht="25.5" customHeight="1" outlineLevel="2">
      <c r="B40" s="263" t="s">
        <v>278</v>
      </c>
      <c r="C40" s="262"/>
      <c r="D40" s="264" t="s">
        <v>277</v>
      </c>
      <c r="E40" s="260">
        <f>0</f>
        <v>0</v>
      </c>
      <c r="F40" s="259">
        <f>6480664</f>
        <v>6480664</v>
      </c>
      <c r="G40" s="259">
        <f>3862354.56</f>
        <v>3862354.56</v>
      </c>
      <c r="H40" s="258">
        <f>3110928.58</f>
        <v>3110928.58</v>
      </c>
      <c r="I40" s="257">
        <f>791736</f>
        <v>791736</v>
      </c>
      <c r="J40" s="256">
        <f>0</f>
        <v>0</v>
      </c>
      <c r="K40" s="256">
        <f>0</f>
        <v>0</v>
      </c>
      <c r="L40" s="256">
        <f>0</f>
        <v>0</v>
      </c>
      <c r="M40" s="256">
        <f>0</f>
        <v>0</v>
      </c>
      <c r="N40" s="256">
        <f>0</f>
        <v>0</v>
      </c>
      <c r="O40" s="256">
        <f>0</f>
        <v>0</v>
      </c>
      <c r="P40" s="256">
        <f>0</f>
        <v>0</v>
      </c>
      <c r="Q40" s="256">
        <f>0</f>
        <v>0</v>
      </c>
      <c r="R40" s="256">
        <f>0</f>
        <v>0</v>
      </c>
      <c r="S40" s="256">
        <f>0</f>
        <v>0</v>
      </c>
      <c r="T40" s="256">
        <f>0</f>
        <v>0</v>
      </c>
      <c r="U40" s="256">
        <f>0</f>
        <v>0</v>
      </c>
      <c r="V40" s="256">
        <f>0</f>
        <v>0</v>
      </c>
      <c r="W40" s="256">
        <f>0</f>
        <v>0</v>
      </c>
      <c r="X40" s="256">
        <f>0</f>
        <v>0</v>
      </c>
      <c r="Y40" s="256">
        <f>0</f>
        <v>0</v>
      </c>
      <c r="Z40" s="256">
        <f>0</f>
        <v>0</v>
      </c>
      <c r="AA40" s="256">
        <f>0</f>
        <v>0</v>
      </c>
      <c r="AB40" s="256">
        <f>0</f>
        <v>0</v>
      </c>
      <c r="AC40" s="256">
        <f>0</f>
        <v>0</v>
      </c>
      <c r="AD40" s="256">
        <f>0</f>
        <v>0</v>
      </c>
      <c r="AE40" s="256">
        <f>0</f>
        <v>0</v>
      </c>
      <c r="AF40" s="256">
        <f>0</f>
        <v>0</v>
      </c>
      <c r="AG40" s="256">
        <f>0</f>
        <v>0</v>
      </c>
      <c r="AH40" s="256">
        <f>0</f>
        <v>0</v>
      </c>
      <c r="AI40" s="256">
        <f>0</f>
        <v>0</v>
      </c>
      <c r="AJ40" s="256">
        <f>0</f>
        <v>0</v>
      </c>
      <c r="AK40" s="256">
        <f>0</f>
        <v>0</v>
      </c>
      <c r="AL40" s="255">
        <f>0</f>
        <v>0</v>
      </c>
    </row>
    <row r="41" spans="1:39" ht="15" customHeight="1" outlineLevel="3">
      <c r="B41" s="263" t="s">
        <v>276</v>
      </c>
      <c r="C41" s="262"/>
      <c r="D41" s="261" t="s">
        <v>275</v>
      </c>
      <c r="E41" s="260">
        <f>0</f>
        <v>0</v>
      </c>
      <c r="F41" s="259">
        <f>6480664</f>
        <v>6480664</v>
      </c>
      <c r="G41" s="259">
        <f>3862354.56</f>
        <v>3862354.56</v>
      </c>
      <c r="H41" s="258">
        <f>3110928.58</f>
        <v>3110928.58</v>
      </c>
      <c r="I41" s="257">
        <f>791736</f>
        <v>791736</v>
      </c>
      <c r="J41" s="256">
        <f>0</f>
        <v>0</v>
      </c>
      <c r="K41" s="256">
        <f>0</f>
        <v>0</v>
      </c>
      <c r="L41" s="256">
        <f>0</f>
        <v>0</v>
      </c>
      <c r="M41" s="256">
        <f>0</f>
        <v>0</v>
      </c>
      <c r="N41" s="256">
        <f>0</f>
        <v>0</v>
      </c>
      <c r="O41" s="256">
        <f>0</f>
        <v>0</v>
      </c>
      <c r="P41" s="256">
        <f>0</f>
        <v>0</v>
      </c>
      <c r="Q41" s="256">
        <f>0</f>
        <v>0</v>
      </c>
      <c r="R41" s="256">
        <f>0</f>
        <v>0</v>
      </c>
      <c r="S41" s="256">
        <f>0</f>
        <v>0</v>
      </c>
      <c r="T41" s="256">
        <f>0</f>
        <v>0</v>
      </c>
      <c r="U41" s="256">
        <f>0</f>
        <v>0</v>
      </c>
      <c r="V41" s="256">
        <f>0</f>
        <v>0</v>
      </c>
      <c r="W41" s="256">
        <f>0</f>
        <v>0</v>
      </c>
      <c r="X41" s="256">
        <f>0</f>
        <v>0</v>
      </c>
      <c r="Y41" s="256">
        <f>0</f>
        <v>0</v>
      </c>
      <c r="Z41" s="256">
        <f>0</f>
        <v>0</v>
      </c>
      <c r="AA41" s="256">
        <f>0</f>
        <v>0</v>
      </c>
      <c r="AB41" s="256">
        <f>0</f>
        <v>0</v>
      </c>
      <c r="AC41" s="256">
        <f>0</f>
        <v>0</v>
      </c>
      <c r="AD41" s="256">
        <f>0</f>
        <v>0</v>
      </c>
      <c r="AE41" s="256">
        <f>0</f>
        <v>0</v>
      </c>
      <c r="AF41" s="256">
        <f>0</f>
        <v>0</v>
      </c>
      <c r="AG41" s="256">
        <f>0</f>
        <v>0</v>
      </c>
      <c r="AH41" s="256">
        <f>0</f>
        <v>0</v>
      </c>
      <c r="AI41" s="256">
        <f>0</f>
        <v>0</v>
      </c>
      <c r="AJ41" s="256">
        <f>0</f>
        <v>0</v>
      </c>
      <c r="AK41" s="256">
        <f>0</f>
        <v>0</v>
      </c>
      <c r="AL41" s="255">
        <f>0</f>
        <v>0</v>
      </c>
    </row>
    <row r="42" spans="1:39" ht="25.5" customHeight="1" outlineLevel="2">
      <c r="B42" s="263" t="s">
        <v>274</v>
      </c>
      <c r="C42" s="262"/>
      <c r="D42" s="264" t="s">
        <v>273</v>
      </c>
      <c r="E42" s="289">
        <f>0.4328</f>
        <v>0.43280000000000002</v>
      </c>
      <c r="F42" s="288">
        <f>0.7954</f>
        <v>0.7954</v>
      </c>
      <c r="G42" s="288">
        <f>0.6893</f>
        <v>0.68930000000000002</v>
      </c>
      <c r="H42" s="287">
        <f>0.6718</f>
        <v>0.67179999999999995</v>
      </c>
      <c r="I42" s="286">
        <f>0.5699</f>
        <v>0.56989999999999996</v>
      </c>
      <c r="J42" s="285">
        <f>0.5465</f>
        <v>0.54649999999999999</v>
      </c>
      <c r="K42" s="285">
        <f>0.5937</f>
        <v>0.59370000000000001</v>
      </c>
      <c r="L42" s="285">
        <f>0.5722</f>
        <v>0.57220000000000004</v>
      </c>
      <c r="M42" s="285">
        <f>0.531</f>
        <v>0.53100000000000003</v>
      </c>
      <c r="N42" s="285">
        <f>0.482</f>
        <v>0.48199999999999998</v>
      </c>
      <c r="O42" s="285">
        <f>0.4025</f>
        <v>0.40250000000000002</v>
      </c>
      <c r="P42" s="285">
        <f>0.3218</f>
        <v>0.32179999999999997</v>
      </c>
      <c r="Q42" s="285">
        <f>0.2506</f>
        <v>0.25059999999999999</v>
      </c>
      <c r="R42" s="285">
        <f>0.1767</f>
        <v>0.1767</v>
      </c>
      <c r="S42" s="285">
        <f>0.0981</f>
        <v>9.8100000000000007E-2</v>
      </c>
      <c r="T42" s="285">
        <f>0.022</f>
        <v>2.1999999999999999E-2</v>
      </c>
      <c r="U42" s="285">
        <f>0</f>
        <v>0</v>
      </c>
      <c r="V42" s="285">
        <f>0</f>
        <v>0</v>
      </c>
      <c r="W42" s="285">
        <f>0</f>
        <v>0</v>
      </c>
      <c r="X42" s="285">
        <f>0</f>
        <v>0</v>
      </c>
      <c r="Y42" s="285">
        <f>0</f>
        <v>0</v>
      </c>
      <c r="Z42" s="285">
        <f>0</f>
        <v>0</v>
      </c>
      <c r="AA42" s="285">
        <f>0</f>
        <v>0</v>
      </c>
      <c r="AB42" s="285">
        <f>0</f>
        <v>0</v>
      </c>
      <c r="AC42" s="285">
        <f>0</f>
        <v>0</v>
      </c>
      <c r="AD42" s="285">
        <f>0</f>
        <v>0</v>
      </c>
      <c r="AE42" s="285">
        <f>0</f>
        <v>0</v>
      </c>
      <c r="AF42" s="285">
        <f>0</f>
        <v>0</v>
      </c>
      <c r="AG42" s="285">
        <f>0</f>
        <v>0</v>
      </c>
      <c r="AH42" s="285">
        <f>0</f>
        <v>0</v>
      </c>
      <c r="AI42" s="285">
        <f>0</f>
        <v>0</v>
      </c>
      <c r="AJ42" s="285">
        <f>0</f>
        <v>0</v>
      </c>
      <c r="AK42" s="285">
        <f>0</f>
        <v>0</v>
      </c>
      <c r="AL42" s="284">
        <f>0</f>
        <v>0</v>
      </c>
    </row>
    <row r="43" spans="1:39" ht="25.5" customHeight="1" outlineLevel="2">
      <c r="B43" s="263" t="s">
        <v>272</v>
      </c>
      <c r="C43" s="262"/>
      <c r="D43" s="264" t="s">
        <v>271</v>
      </c>
      <c r="E43" s="289">
        <f>0.4328</f>
        <v>0.43280000000000002</v>
      </c>
      <c r="F43" s="288">
        <f>0.3869</f>
        <v>0.38690000000000002</v>
      </c>
      <c r="G43" s="288">
        <f>0.4796</f>
        <v>0.47960000000000003</v>
      </c>
      <c r="H43" s="287">
        <f>0.5038</f>
        <v>0.50380000000000003</v>
      </c>
      <c r="I43" s="286">
        <f>0.528</f>
        <v>0.52800000000000002</v>
      </c>
      <c r="J43" s="285">
        <f>0.5465</f>
        <v>0.54649999999999999</v>
      </c>
      <c r="K43" s="285">
        <f>0.5937</f>
        <v>0.59370000000000001</v>
      </c>
      <c r="L43" s="285">
        <f>0.5722</f>
        <v>0.57220000000000004</v>
      </c>
      <c r="M43" s="285">
        <f>0.531</f>
        <v>0.53100000000000003</v>
      </c>
      <c r="N43" s="285">
        <f>0.482</f>
        <v>0.48199999999999998</v>
      </c>
      <c r="O43" s="285">
        <f>0.4025</f>
        <v>0.40250000000000002</v>
      </c>
      <c r="P43" s="285">
        <f>0.3218</f>
        <v>0.32179999999999997</v>
      </c>
      <c r="Q43" s="285">
        <f>0.2506</f>
        <v>0.25059999999999999</v>
      </c>
      <c r="R43" s="285">
        <f>0.1767</f>
        <v>0.1767</v>
      </c>
      <c r="S43" s="285">
        <f>0.0981</f>
        <v>9.8100000000000007E-2</v>
      </c>
      <c r="T43" s="285">
        <f>0.022</f>
        <v>2.1999999999999999E-2</v>
      </c>
      <c r="U43" s="285">
        <f>0</f>
        <v>0</v>
      </c>
      <c r="V43" s="285">
        <f>0</f>
        <v>0</v>
      </c>
      <c r="W43" s="285">
        <f>0</f>
        <v>0</v>
      </c>
      <c r="X43" s="285">
        <f>0</f>
        <v>0</v>
      </c>
      <c r="Y43" s="285">
        <f>0</f>
        <v>0</v>
      </c>
      <c r="Z43" s="285">
        <f>0</f>
        <v>0</v>
      </c>
      <c r="AA43" s="285">
        <f>0</f>
        <v>0</v>
      </c>
      <c r="AB43" s="285">
        <f>0</f>
        <v>0</v>
      </c>
      <c r="AC43" s="285">
        <f>0</f>
        <v>0</v>
      </c>
      <c r="AD43" s="285">
        <f>0</f>
        <v>0</v>
      </c>
      <c r="AE43" s="285">
        <f>0</f>
        <v>0</v>
      </c>
      <c r="AF43" s="285">
        <f>0</f>
        <v>0</v>
      </c>
      <c r="AG43" s="285">
        <f>0</f>
        <v>0</v>
      </c>
      <c r="AH43" s="285">
        <f>0</f>
        <v>0</v>
      </c>
      <c r="AI43" s="285">
        <f>0</f>
        <v>0</v>
      </c>
      <c r="AJ43" s="285">
        <f>0</f>
        <v>0</v>
      </c>
      <c r="AK43" s="285">
        <f>0</f>
        <v>0</v>
      </c>
      <c r="AL43" s="284">
        <f>0</f>
        <v>0</v>
      </c>
    </row>
    <row r="44" spans="1:39" ht="39" customHeight="1" outlineLevel="1">
      <c r="B44" s="273">
        <v>7</v>
      </c>
      <c r="C44" s="272"/>
      <c r="D44" s="271" t="s">
        <v>270</v>
      </c>
      <c r="E44" s="281">
        <f>0</f>
        <v>0</v>
      </c>
      <c r="F44" s="280">
        <f>0</f>
        <v>0</v>
      </c>
      <c r="G44" s="280">
        <f>0</f>
        <v>0</v>
      </c>
      <c r="H44" s="279">
        <f>0</f>
        <v>0</v>
      </c>
      <c r="I44" s="278">
        <f>0</f>
        <v>0</v>
      </c>
      <c r="J44" s="277">
        <f>0</f>
        <v>0</v>
      </c>
      <c r="K44" s="277">
        <f>0</f>
        <v>0</v>
      </c>
      <c r="L44" s="277">
        <f>0</f>
        <v>0</v>
      </c>
      <c r="M44" s="277">
        <f>0</f>
        <v>0</v>
      </c>
      <c r="N44" s="277">
        <f>0</f>
        <v>0</v>
      </c>
      <c r="O44" s="277">
        <f>0</f>
        <v>0</v>
      </c>
      <c r="P44" s="277">
        <f>0</f>
        <v>0</v>
      </c>
      <c r="Q44" s="277">
        <f>0</f>
        <v>0</v>
      </c>
      <c r="R44" s="277">
        <f>0</f>
        <v>0</v>
      </c>
      <c r="S44" s="277">
        <f>0</f>
        <v>0</v>
      </c>
      <c r="T44" s="277">
        <f>0</f>
        <v>0</v>
      </c>
      <c r="U44" s="277">
        <f>0</f>
        <v>0</v>
      </c>
      <c r="V44" s="277">
        <f>0</f>
        <v>0</v>
      </c>
      <c r="W44" s="277">
        <f>0</f>
        <v>0</v>
      </c>
      <c r="X44" s="277">
        <f>0</f>
        <v>0</v>
      </c>
      <c r="Y44" s="277">
        <f>0</f>
        <v>0</v>
      </c>
      <c r="Z44" s="277">
        <f>0</f>
        <v>0</v>
      </c>
      <c r="AA44" s="277">
        <f>0</f>
        <v>0</v>
      </c>
      <c r="AB44" s="277">
        <f>0</f>
        <v>0</v>
      </c>
      <c r="AC44" s="277">
        <f>0</f>
        <v>0</v>
      </c>
      <c r="AD44" s="277">
        <f>0</f>
        <v>0</v>
      </c>
      <c r="AE44" s="277">
        <f>0</f>
        <v>0</v>
      </c>
      <c r="AF44" s="277">
        <f>0</f>
        <v>0</v>
      </c>
      <c r="AG44" s="277">
        <f>0</f>
        <v>0</v>
      </c>
      <c r="AH44" s="277">
        <f>0</f>
        <v>0</v>
      </c>
      <c r="AI44" s="277">
        <f>0</f>
        <v>0</v>
      </c>
      <c r="AJ44" s="277">
        <f>0</f>
        <v>0</v>
      </c>
      <c r="AK44" s="277">
        <f>0</f>
        <v>0</v>
      </c>
      <c r="AL44" s="276">
        <f>0</f>
        <v>0</v>
      </c>
      <c r="AM44" s="30"/>
    </row>
    <row r="45" spans="1:39" ht="15" customHeight="1" outlineLevel="1">
      <c r="B45" s="273">
        <v>8</v>
      </c>
      <c r="C45" s="272"/>
      <c r="D45" s="271" t="s">
        <v>269</v>
      </c>
      <c r="E45" s="270" t="s">
        <v>39</v>
      </c>
      <c r="F45" s="269" t="s">
        <v>39</v>
      </c>
      <c r="G45" s="269" t="s">
        <v>39</v>
      </c>
      <c r="H45" s="268" t="s">
        <v>39</v>
      </c>
      <c r="I45" s="267" t="s">
        <v>39</v>
      </c>
      <c r="J45" s="266" t="s">
        <v>39</v>
      </c>
      <c r="K45" s="266" t="s">
        <v>39</v>
      </c>
      <c r="L45" s="266" t="s">
        <v>39</v>
      </c>
      <c r="M45" s="266" t="s">
        <v>39</v>
      </c>
      <c r="N45" s="266" t="s">
        <v>39</v>
      </c>
      <c r="O45" s="266" t="s">
        <v>39</v>
      </c>
      <c r="P45" s="266" t="s">
        <v>39</v>
      </c>
      <c r="Q45" s="266" t="s">
        <v>39</v>
      </c>
      <c r="R45" s="266" t="s">
        <v>39</v>
      </c>
      <c r="S45" s="266" t="s">
        <v>39</v>
      </c>
      <c r="T45" s="266" t="s">
        <v>39</v>
      </c>
      <c r="U45" s="266" t="s">
        <v>39</v>
      </c>
      <c r="V45" s="266" t="s">
        <v>39</v>
      </c>
      <c r="W45" s="266" t="s">
        <v>39</v>
      </c>
      <c r="X45" s="266" t="s">
        <v>39</v>
      </c>
      <c r="Y45" s="266" t="s">
        <v>39</v>
      </c>
      <c r="Z45" s="266" t="s">
        <v>39</v>
      </c>
      <c r="AA45" s="266" t="s">
        <v>39</v>
      </c>
      <c r="AB45" s="266" t="s">
        <v>39</v>
      </c>
      <c r="AC45" s="266" t="s">
        <v>39</v>
      </c>
      <c r="AD45" s="266" t="s">
        <v>39</v>
      </c>
      <c r="AE45" s="266" t="s">
        <v>39</v>
      </c>
      <c r="AF45" s="266" t="s">
        <v>39</v>
      </c>
      <c r="AG45" s="266" t="s">
        <v>39</v>
      </c>
      <c r="AH45" s="266" t="s">
        <v>39</v>
      </c>
      <c r="AI45" s="266" t="s">
        <v>39</v>
      </c>
      <c r="AJ45" s="266" t="s">
        <v>39</v>
      </c>
      <c r="AK45" s="266" t="s">
        <v>39</v>
      </c>
      <c r="AL45" s="265" t="s">
        <v>39</v>
      </c>
      <c r="AM45" s="30"/>
    </row>
    <row r="46" spans="1:39" ht="15" customHeight="1" outlineLevel="2">
      <c r="B46" s="263" t="s">
        <v>268</v>
      </c>
      <c r="C46" s="262"/>
      <c r="D46" s="264" t="s">
        <v>267</v>
      </c>
      <c r="E46" s="260">
        <f>-855227.29</f>
        <v>-855227.29</v>
      </c>
      <c r="F46" s="259">
        <f>12274.48</f>
        <v>12274.48</v>
      </c>
      <c r="G46" s="259">
        <f>-92653</f>
        <v>-92653</v>
      </c>
      <c r="H46" s="258">
        <f>513374.71</f>
        <v>513374.71</v>
      </c>
      <c r="I46" s="257">
        <f>-456731</f>
        <v>-456731</v>
      </c>
      <c r="J46" s="256">
        <f>1427017</f>
        <v>1427017</v>
      </c>
      <c r="K46" s="256">
        <f>2226327</f>
        <v>2226327</v>
      </c>
      <c r="L46" s="256">
        <f>1797417</f>
        <v>1797417</v>
      </c>
      <c r="M46" s="256">
        <f>1603340</f>
        <v>1603340</v>
      </c>
      <c r="N46" s="256">
        <f>1704150</f>
        <v>1704150</v>
      </c>
      <c r="O46" s="256">
        <f>1806904</f>
        <v>1806904</v>
      </c>
      <c r="P46" s="256">
        <f>1947662</f>
        <v>1947662</v>
      </c>
      <c r="Q46" s="256">
        <f>2096481</f>
        <v>2096481</v>
      </c>
      <c r="R46" s="256">
        <f>2241426</f>
        <v>2241426</v>
      </c>
      <c r="S46" s="256">
        <f>2396559</f>
        <v>2396559</v>
      </c>
      <c r="T46" s="256">
        <f>2563945</f>
        <v>2563945</v>
      </c>
      <c r="U46" s="256">
        <f>2736654</f>
        <v>2736654</v>
      </c>
      <c r="V46" s="256">
        <f>0</f>
        <v>0</v>
      </c>
      <c r="W46" s="256">
        <f>0</f>
        <v>0</v>
      </c>
      <c r="X46" s="256">
        <f>0</f>
        <v>0</v>
      </c>
      <c r="Y46" s="256">
        <f>0</f>
        <v>0</v>
      </c>
      <c r="Z46" s="256">
        <f>0</f>
        <v>0</v>
      </c>
      <c r="AA46" s="256">
        <f>0</f>
        <v>0</v>
      </c>
      <c r="AB46" s="256">
        <f>0</f>
        <v>0</v>
      </c>
      <c r="AC46" s="256">
        <f>0</f>
        <v>0</v>
      </c>
      <c r="AD46" s="256">
        <f>0</f>
        <v>0</v>
      </c>
      <c r="AE46" s="256">
        <f>0</f>
        <v>0</v>
      </c>
      <c r="AF46" s="256">
        <f>0</f>
        <v>0</v>
      </c>
      <c r="AG46" s="256">
        <f>0</f>
        <v>0</v>
      </c>
      <c r="AH46" s="256">
        <f>0</f>
        <v>0</v>
      </c>
      <c r="AI46" s="256">
        <f>0</f>
        <v>0</v>
      </c>
      <c r="AJ46" s="256">
        <f>0</f>
        <v>0</v>
      </c>
      <c r="AK46" s="256">
        <f>0</f>
        <v>0</v>
      </c>
      <c r="AL46" s="255">
        <f>0</f>
        <v>0</v>
      </c>
    </row>
    <row r="47" spans="1:39" ht="39" customHeight="1" outlineLevel="2">
      <c r="B47" s="263" t="s">
        <v>266</v>
      </c>
      <c r="C47" s="262"/>
      <c r="D47" s="264" t="s">
        <v>265</v>
      </c>
      <c r="E47" s="260">
        <f>-855227.29</f>
        <v>-855227.29</v>
      </c>
      <c r="F47" s="259">
        <f>12274.48</f>
        <v>12274.48</v>
      </c>
      <c r="G47" s="259">
        <f>2094138</f>
        <v>2094138</v>
      </c>
      <c r="H47" s="258">
        <f>2745681.55</f>
        <v>2745681.55</v>
      </c>
      <c r="I47" s="257">
        <f>1595269</f>
        <v>1595269</v>
      </c>
      <c r="J47" s="256">
        <f>1427017</f>
        <v>1427017</v>
      </c>
      <c r="K47" s="256">
        <f>2226327</f>
        <v>2226327</v>
      </c>
      <c r="L47" s="256">
        <f>1797417</f>
        <v>1797417</v>
      </c>
      <c r="M47" s="256">
        <f>1603340</f>
        <v>1603340</v>
      </c>
      <c r="N47" s="256">
        <f>1704150</f>
        <v>1704150</v>
      </c>
      <c r="O47" s="256">
        <f>1806904</f>
        <v>1806904</v>
      </c>
      <c r="P47" s="256">
        <f>1947662</f>
        <v>1947662</v>
      </c>
      <c r="Q47" s="256">
        <f>2096481</f>
        <v>2096481</v>
      </c>
      <c r="R47" s="256">
        <f>2241426</f>
        <v>2241426</v>
      </c>
      <c r="S47" s="256">
        <f>2396559</f>
        <v>2396559</v>
      </c>
      <c r="T47" s="256">
        <f>2563945</f>
        <v>2563945</v>
      </c>
      <c r="U47" s="256">
        <f>2736654</f>
        <v>2736654</v>
      </c>
      <c r="V47" s="256">
        <f>0</f>
        <v>0</v>
      </c>
      <c r="W47" s="256">
        <f>0</f>
        <v>0</v>
      </c>
      <c r="X47" s="256">
        <f>0</f>
        <v>0</v>
      </c>
      <c r="Y47" s="256">
        <f>0</f>
        <v>0</v>
      </c>
      <c r="Z47" s="256">
        <f>0</f>
        <v>0</v>
      </c>
      <c r="AA47" s="256">
        <f>0</f>
        <v>0</v>
      </c>
      <c r="AB47" s="256">
        <f>0</f>
        <v>0</v>
      </c>
      <c r="AC47" s="256">
        <f>0</f>
        <v>0</v>
      </c>
      <c r="AD47" s="256">
        <f>0</f>
        <v>0</v>
      </c>
      <c r="AE47" s="256">
        <f>0</f>
        <v>0</v>
      </c>
      <c r="AF47" s="256">
        <f>0</f>
        <v>0</v>
      </c>
      <c r="AG47" s="256">
        <f>0</f>
        <v>0</v>
      </c>
      <c r="AH47" s="256">
        <f>0</f>
        <v>0</v>
      </c>
      <c r="AI47" s="256">
        <f>0</f>
        <v>0</v>
      </c>
      <c r="AJ47" s="256">
        <f>0</f>
        <v>0</v>
      </c>
      <c r="AK47" s="256">
        <f>0</f>
        <v>0</v>
      </c>
      <c r="AL47" s="255">
        <f>0</f>
        <v>0</v>
      </c>
    </row>
    <row r="48" spans="1:39" ht="15" customHeight="1" outlineLevel="1">
      <c r="A48" s="311" t="s">
        <v>39</v>
      </c>
      <c r="B48" s="273">
        <v>9</v>
      </c>
      <c r="C48" s="272"/>
      <c r="D48" s="271" t="s">
        <v>264</v>
      </c>
      <c r="E48" s="270" t="s">
        <v>39</v>
      </c>
      <c r="F48" s="269" t="s">
        <v>39</v>
      </c>
      <c r="G48" s="269" t="s">
        <v>39</v>
      </c>
      <c r="H48" s="268" t="s">
        <v>39</v>
      </c>
      <c r="I48" s="267" t="s">
        <v>39</v>
      </c>
      <c r="J48" s="266" t="s">
        <v>39</v>
      </c>
      <c r="K48" s="266" t="s">
        <v>39</v>
      </c>
      <c r="L48" s="266" t="s">
        <v>39</v>
      </c>
      <c r="M48" s="266" t="s">
        <v>39</v>
      </c>
      <c r="N48" s="266" t="s">
        <v>39</v>
      </c>
      <c r="O48" s="266" t="s">
        <v>39</v>
      </c>
      <c r="P48" s="266" t="s">
        <v>39</v>
      </c>
      <c r="Q48" s="266" t="s">
        <v>39</v>
      </c>
      <c r="R48" s="266" t="s">
        <v>39</v>
      </c>
      <c r="S48" s="266" t="s">
        <v>39</v>
      </c>
      <c r="T48" s="266" t="s">
        <v>39</v>
      </c>
      <c r="U48" s="266" t="s">
        <v>39</v>
      </c>
      <c r="V48" s="266" t="s">
        <v>39</v>
      </c>
      <c r="W48" s="266" t="s">
        <v>39</v>
      </c>
      <c r="X48" s="266" t="s">
        <v>39</v>
      </c>
      <c r="Y48" s="266" t="s">
        <v>39</v>
      </c>
      <c r="Z48" s="266" t="s">
        <v>39</v>
      </c>
      <c r="AA48" s="266" t="s">
        <v>39</v>
      </c>
      <c r="AB48" s="266" t="s">
        <v>39</v>
      </c>
      <c r="AC48" s="266" t="s">
        <v>39</v>
      </c>
      <c r="AD48" s="266" t="s">
        <v>39</v>
      </c>
      <c r="AE48" s="266" t="s">
        <v>39</v>
      </c>
      <c r="AF48" s="266" t="s">
        <v>39</v>
      </c>
      <c r="AG48" s="266" t="s">
        <v>39</v>
      </c>
      <c r="AH48" s="266" t="s">
        <v>39</v>
      </c>
      <c r="AI48" s="266" t="s">
        <v>39</v>
      </c>
      <c r="AJ48" s="266" t="s">
        <v>39</v>
      </c>
      <c r="AK48" s="266" t="s">
        <v>39</v>
      </c>
      <c r="AL48" s="265" t="s">
        <v>39</v>
      </c>
      <c r="AM48" s="30"/>
    </row>
    <row r="49" spans="1:39" ht="25.5" customHeight="1" outlineLevel="2">
      <c r="B49" s="263" t="s">
        <v>263</v>
      </c>
      <c r="C49" s="262"/>
      <c r="D49" s="264" t="s">
        <v>262</v>
      </c>
      <c r="E49" s="289">
        <f>0.0227</f>
        <v>2.2700000000000001E-2</v>
      </c>
      <c r="F49" s="288">
        <f>0.2106</f>
        <v>0.21060000000000001</v>
      </c>
      <c r="G49" s="288">
        <f>0.2237</f>
        <v>0.22370000000000001</v>
      </c>
      <c r="H49" s="287">
        <f>0.2218</f>
        <v>0.2218</v>
      </c>
      <c r="I49" s="286">
        <f>0.1532</f>
        <v>0.1532</v>
      </c>
      <c r="J49" s="285">
        <f>0.0559</f>
        <v>5.5899999999999998E-2</v>
      </c>
      <c r="K49" s="285">
        <f>0.0436</f>
        <v>4.36E-2</v>
      </c>
      <c r="L49" s="285">
        <f>0.0587</f>
        <v>5.8700000000000002E-2</v>
      </c>
      <c r="M49" s="285">
        <f>0.0671</f>
        <v>6.7100000000000007E-2</v>
      </c>
      <c r="N49" s="285">
        <f>0.0632</f>
        <v>6.3200000000000006E-2</v>
      </c>
      <c r="O49" s="285">
        <f>0.0922</f>
        <v>9.2200000000000004E-2</v>
      </c>
      <c r="P49" s="285">
        <f>0.0911</f>
        <v>9.11E-2</v>
      </c>
      <c r="Q49" s="285">
        <f>0.0793</f>
        <v>7.9299999999999995E-2</v>
      </c>
      <c r="R49" s="285">
        <f>0.0799</f>
        <v>7.9899999999999999E-2</v>
      </c>
      <c r="S49" s="285">
        <f>0.0825</f>
        <v>8.2500000000000004E-2</v>
      </c>
      <c r="T49" s="285">
        <f>0.0777</f>
        <v>7.7700000000000005E-2</v>
      </c>
      <c r="U49" s="285">
        <f>0.0214</f>
        <v>2.1399999999999999E-2</v>
      </c>
      <c r="V49" s="285">
        <f>0</f>
        <v>0</v>
      </c>
      <c r="W49" s="285">
        <f>0</f>
        <v>0</v>
      </c>
      <c r="X49" s="285">
        <f>0</f>
        <v>0</v>
      </c>
      <c r="Y49" s="285">
        <f>0</f>
        <v>0</v>
      </c>
      <c r="Z49" s="285">
        <f>0</f>
        <v>0</v>
      </c>
      <c r="AA49" s="285">
        <f>0</f>
        <v>0</v>
      </c>
      <c r="AB49" s="285">
        <f>0</f>
        <v>0</v>
      </c>
      <c r="AC49" s="285">
        <f>0</f>
        <v>0</v>
      </c>
      <c r="AD49" s="285">
        <f>0</f>
        <v>0</v>
      </c>
      <c r="AE49" s="285">
        <f>0</f>
        <v>0</v>
      </c>
      <c r="AF49" s="285">
        <f>0</f>
        <v>0</v>
      </c>
      <c r="AG49" s="285">
        <f>0</f>
        <v>0</v>
      </c>
      <c r="AH49" s="285">
        <f>0</f>
        <v>0</v>
      </c>
      <c r="AI49" s="285">
        <f>0</f>
        <v>0</v>
      </c>
      <c r="AJ49" s="285">
        <f>0</f>
        <v>0</v>
      </c>
      <c r="AK49" s="285">
        <f>0</f>
        <v>0</v>
      </c>
      <c r="AL49" s="284">
        <f>0</f>
        <v>0</v>
      </c>
    </row>
    <row r="50" spans="1:39" ht="25.5" customHeight="1" outlineLevel="2">
      <c r="B50" s="263" t="s">
        <v>261</v>
      </c>
      <c r="C50" s="262"/>
      <c r="D50" s="264" t="s">
        <v>260</v>
      </c>
      <c r="E50" s="289">
        <f>0.0227</f>
        <v>2.2700000000000001E-2</v>
      </c>
      <c r="F50" s="288">
        <f>0.2106</f>
        <v>0.21060000000000001</v>
      </c>
      <c r="G50" s="288">
        <f>0.2237</f>
        <v>0.22370000000000001</v>
      </c>
      <c r="H50" s="287">
        <f>0.0761</f>
        <v>7.6100000000000001E-2</v>
      </c>
      <c r="I50" s="286">
        <f>0.0993</f>
        <v>9.9299999999999999E-2</v>
      </c>
      <c r="J50" s="285">
        <f>0.0293</f>
        <v>2.93E-2</v>
      </c>
      <c r="K50" s="285">
        <f>0.0436</f>
        <v>4.36E-2</v>
      </c>
      <c r="L50" s="285">
        <f>0.0587</f>
        <v>5.8700000000000002E-2</v>
      </c>
      <c r="M50" s="285">
        <f>0.0671</f>
        <v>6.7100000000000007E-2</v>
      </c>
      <c r="N50" s="285">
        <f>0.0632</f>
        <v>6.3200000000000006E-2</v>
      </c>
      <c r="O50" s="285">
        <f>0.0922</f>
        <v>9.2200000000000004E-2</v>
      </c>
      <c r="P50" s="285">
        <f>0.0911</f>
        <v>9.11E-2</v>
      </c>
      <c r="Q50" s="285">
        <f>0.0793</f>
        <v>7.9299999999999995E-2</v>
      </c>
      <c r="R50" s="285">
        <f>0.0799</f>
        <v>7.9899999999999999E-2</v>
      </c>
      <c r="S50" s="285">
        <f>0.0825</f>
        <v>8.2500000000000004E-2</v>
      </c>
      <c r="T50" s="285">
        <f>0.0777</f>
        <v>7.7700000000000005E-2</v>
      </c>
      <c r="U50" s="285">
        <f>0.0214</f>
        <v>2.1399999999999999E-2</v>
      </c>
      <c r="V50" s="285">
        <f>0</f>
        <v>0</v>
      </c>
      <c r="W50" s="285">
        <f>0</f>
        <v>0</v>
      </c>
      <c r="X50" s="285">
        <f>0</f>
        <v>0</v>
      </c>
      <c r="Y50" s="285">
        <f>0</f>
        <v>0</v>
      </c>
      <c r="Z50" s="285">
        <f>0</f>
        <v>0</v>
      </c>
      <c r="AA50" s="285">
        <f>0</f>
        <v>0</v>
      </c>
      <c r="AB50" s="285">
        <f>0</f>
        <v>0</v>
      </c>
      <c r="AC50" s="285">
        <f>0</f>
        <v>0</v>
      </c>
      <c r="AD50" s="285">
        <f>0</f>
        <v>0</v>
      </c>
      <c r="AE50" s="285">
        <f>0</f>
        <v>0</v>
      </c>
      <c r="AF50" s="285">
        <f>0</f>
        <v>0</v>
      </c>
      <c r="AG50" s="285">
        <f>0</f>
        <v>0</v>
      </c>
      <c r="AH50" s="285">
        <f>0</f>
        <v>0</v>
      </c>
      <c r="AI50" s="285">
        <f>0</f>
        <v>0</v>
      </c>
      <c r="AJ50" s="285">
        <f>0</f>
        <v>0</v>
      </c>
      <c r="AK50" s="285">
        <f>0</f>
        <v>0</v>
      </c>
      <c r="AL50" s="284">
        <f>0</f>
        <v>0</v>
      </c>
    </row>
    <row r="51" spans="1:39" ht="38.25" customHeight="1" outlineLevel="2">
      <c r="A51" s="311" t="s">
        <v>39</v>
      </c>
      <c r="B51" s="263" t="s">
        <v>259</v>
      </c>
      <c r="C51" s="262"/>
      <c r="D51" s="264" t="s">
        <v>258</v>
      </c>
      <c r="E51" s="289">
        <f>0.0227</f>
        <v>2.2700000000000001E-2</v>
      </c>
      <c r="F51" s="288">
        <f>0.2106</f>
        <v>0.21060000000000001</v>
      </c>
      <c r="G51" s="288">
        <f>0.2237</f>
        <v>0.22370000000000001</v>
      </c>
      <c r="H51" s="287">
        <f>0.2218</f>
        <v>0.2218</v>
      </c>
      <c r="I51" s="286">
        <f>0.1532</f>
        <v>0.1532</v>
      </c>
      <c r="J51" s="285">
        <f>0.0559</f>
        <v>5.5899999999999998E-2</v>
      </c>
      <c r="K51" s="285">
        <f>0.0436</f>
        <v>4.36E-2</v>
      </c>
      <c r="L51" s="285">
        <f>0.0587</f>
        <v>5.8700000000000002E-2</v>
      </c>
      <c r="M51" s="285">
        <f>0.0671</f>
        <v>6.7100000000000007E-2</v>
      </c>
      <c r="N51" s="285">
        <f>0.0632</f>
        <v>6.3200000000000006E-2</v>
      </c>
      <c r="O51" s="285">
        <f>0.0922</f>
        <v>9.2200000000000004E-2</v>
      </c>
      <c r="P51" s="285">
        <f>0.0911</f>
        <v>9.11E-2</v>
      </c>
      <c r="Q51" s="285">
        <f>0.0793</f>
        <v>7.9299999999999995E-2</v>
      </c>
      <c r="R51" s="285">
        <f>0.0799</f>
        <v>7.9899999999999999E-2</v>
      </c>
      <c r="S51" s="285">
        <f>0.0825</f>
        <v>8.2500000000000004E-2</v>
      </c>
      <c r="T51" s="285">
        <f>0.0777</f>
        <v>7.7700000000000005E-2</v>
      </c>
      <c r="U51" s="285">
        <f>0.0214</f>
        <v>2.1399999999999999E-2</v>
      </c>
      <c r="V51" s="285">
        <f>0</f>
        <v>0</v>
      </c>
      <c r="W51" s="285">
        <f>0</f>
        <v>0</v>
      </c>
      <c r="X51" s="285">
        <f>0</f>
        <v>0</v>
      </c>
      <c r="Y51" s="285">
        <f>0</f>
        <v>0</v>
      </c>
      <c r="Z51" s="285">
        <f>0</f>
        <v>0</v>
      </c>
      <c r="AA51" s="285">
        <f>0</f>
        <v>0</v>
      </c>
      <c r="AB51" s="285">
        <f>0</f>
        <v>0</v>
      </c>
      <c r="AC51" s="285">
        <f>0</f>
        <v>0</v>
      </c>
      <c r="AD51" s="285">
        <f>0</f>
        <v>0</v>
      </c>
      <c r="AE51" s="285">
        <f>0</f>
        <v>0</v>
      </c>
      <c r="AF51" s="285">
        <f>0</f>
        <v>0</v>
      </c>
      <c r="AG51" s="285">
        <f>0</f>
        <v>0</v>
      </c>
      <c r="AH51" s="285">
        <f>0</f>
        <v>0</v>
      </c>
      <c r="AI51" s="285">
        <f>0</f>
        <v>0</v>
      </c>
      <c r="AJ51" s="285">
        <f>0</f>
        <v>0</v>
      </c>
      <c r="AK51" s="285">
        <f>0</f>
        <v>0</v>
      </c>
      <c r="AL51" s="284">
        <f>0</f>
        <v>0</v>
      </c>
    </row>
    <row r="52" spans="1:39" ht="38.25" customHeight="1" outlineLevel="2">
      <c r="A52" s="311" t="s">
        <v>39</v>
      </c>
      <c r="B52" s="263" t="s">
        <v>257</v>
      </c>
      <c r="C52" s="262"/>
      <c r="D52" s="264" t="s">
        <v>256</v>
      </c>
      <c r="E52" s="289">
        <f>0.0227</f>
        <v>2.2700000000000001E-2</v>
      </c>
      <c r="F52" s="288">
        <f>0.2106</f>
        <v>0.21060000000000001</v>
      </c>
      <c r="G52" s="288">
        <f>0.2237</f>
        <v>0.22370000000000001</v>
      </c>
      <c r="H52" s="287">
        <f>0.0761</f>
        <v>7.6100000000000001E-2</v>
      </c>
      <c r="I52" s="286">
        <f>0.0993</f>
        <v>9.9299999999999999E-2</v>
      </c>
      <c r="J52" s="285">
        <f>0.0293</f>
        <v>2.93E-2</v>
      </c>
      <c r="K52" s="285">
        <f>0.0436</f>
        <v>4.36E-2</v>
      </c>
      <c r="L52" s="285">
        <f>0.0587</f>
        <v>5.8700000000000002E-2</v>
      </c>
      <c r="M52" s="285">
        <f>0.0671</f>
        <v>6.7100000000000007E-2</v>
      </c>
      <c r="N52" s="285">
        <f>0.0632</f>
        <v>6.3200000000000006E-2</v>
      </c>
      <c r="O52" s="285">
        <f>0.0922</f>
        <v>9.2200000000000004E-2</v>
      </c>
      <c r="P52" s="285">
        <f>0.0911</f>
        <v>9.11E-2</v>
      </c>
      <c r="Q52" s="285">
        <f>0.0793</f>
        <v>7.9299999999999995E-2</v>
      </c>
      <c r="R52" s="285">
        <f>0.0799</f>
        <v>7.9899999999999999E-2</v>
      </c>
      <c r="S52" s="285">
        <f>0.0825</f>
        <v>8.2500000000000004E-2</v>
      </c>
      <c r="T52" s="285">
        <f>0.0777</f>
        <v>7.7700000000000005E-2</v>
      </c>
      <c r="U52" s="285">
        <f>0.0214</f>
        <v>2.1399999999999999E-2</v>
      </c>
      <c r="V52" s="285">
        <f>0</f>
        <v>0</v>
      </c>
      <c r="W52" s="285">
        <f>0</f>
        <v>0</v>
      </c>
      <c r="X52" s="285">
        <f>0</f>
        <v>0</v>
      </c>
      <c r="Y52" s="285">
        <f>0</f>
        <v>0</v>
      </c>
      <c r="Z52" s="285">
        <f>0</f>
        <v>0</v>
      </c>
      <c r="AA52" s="285">
        <f>0</f>
        <v>0</v>
      </c>
      <c r="AB52" s="285">
        <f>0</f>
        <v>0</v>
      </c>
      <c r="AC52" s="285">
        <f>0</f>
        <v>0</v>
      </c>
      <c r="AD52" s="285">
        <f>0</f>
        <v>0</v>
      </c>
      <c r="AE52" s="285">
        <f>0</f>
        <v>0</v>
      </c>
      <c r="AF52" s="285">
        <f>0</f>
        <v>0</v>
      </c>
      <c r="AG52" s="285">
        <f>0</f>
        <v>0</v>
      </c>
      <c r="AH52" s="285">
        <f>0</f>
        <v>0</v>
      </c>
      <c r="AI52" s="285">
        <f>0</f>
        <v>0</v>
      </c>
      <c r="AJ52" s="285">
        <f>0</f>
        <v>0</v>
      </c>
      <c r="AK52" s="285">
        <f>0</f>
        <v>0</v>
      </c>
      <c r="AL52" s="284">
        <f>0</f>
        <v>0</v>
      </c>
    </row>
    <row r="53" spans="1:39" ht="25.5" customHeight="1" outlineLevel="2">
      <c r="A53" s="311" t="s">
        <v>39</v>
      </c>
      <c r="B53" s="263" t="s">
        <v>255</v>
      </c>
      <c r="C53" s="262"/>
      <c r="D53" s="264" t="s">
        <v>254</v>
      </c>
      <c r="E53" s="260">
        <f>0</f>
        <v>0</v>
      </c>
      <c r="F53" s="259">
        <f>0</f>
        <v>0</v>
      </c>
      <c r="G53" s="259">
        <f>0</f>
        <v>0</v>
      </c>
      <c r="H53" s="258">
        <f>0</f>
        <v>0</v>
      </c>
      <c r="I53" s="257">
        <f>0</f>
        <v>0</v>
      </c>
      <c r="J53" s="256">
        <f>0</f>
        <v>0</v>
      </c>
      <c r="K53" s="256">
        <f>0</f>
        <v>0</v>
      </c>
      <c r="L53" s="256">
        <f>0</f>
        <v>0</v>
      </c>
      <c r="M53" s="256">
        <f>0</f>
        <v>0</v>
      </c>
      <c r="N53" s="256">
        <f>0</f>
        <v>0</v>
      </c>
      <c r="O53" s="256">
        <f>0</f>
        <v>0</v>
      </c>
      <c r="P53" s="256">
        <f>0</f>
        <v>0</v>
      </c>
      <c r="Q53" s="256">
        <f>0</f>
        <v>0</v>
      </c>
      <c r="R53" s="256">
        <f>0</f>
        <v>0</v>
      </c>
      <c r="S53" s="256">
        <f>0</f>
        <v>0</v>
      </c>
      <c r="T53" s="256">
        <f>0</f>
        <v>0</v>
      </c>
      <c r="U53" s="256">
        <f>0</f>
        <v>0</v>
      </c>
      <c r="V53" s="256">
        <f>0</f>
        <v>0</v>
      </c>
      <c r="W53" s="256">
        <f>0</f>
        <v>0</v>
      </c>
      <c r="X53" s="256">
        <f>0</f>
        <v>0</v>
      </c>
      <c r="Y53" s="256">
        <f>0</f>
        <v>0</v>
      </c>
      <c r="Z53" s="256">
        <f>0</f>
        <v>0</v>
      </c>
      <c r="AA53" s="256">
        <f>0</f>
        <v>0</v>
      </c>
      <c r="AB53" s="256">
        <f>0</f>
        <v>0</v>
      </c>
      <c r="AC53" s="256">
        <f>0</f>
        <v>0</v>
      </c>
      <c r="AD53" s="256">
        <f>0</f>
        <v>0</v>
      </c>
      <c r="AE53" s="256">
        <f>0</f>
        <v>0</v>
      </c>
      <c r="AF53" s="256">
        <f>0</f>
        <v>0</v>
      </c>
      <c r="AG53" s="256">
        <f>0</f>
        <v>0</v>
      </c>
      <c r="AH53" s="256">
        <f>0</f>
        <v>0</v>
      </c>
      <c r="AI53" s="256">
        <f>0</f>
        <v>0</v>
      </c>
      <c r="AJ53" s="256">
        <f>0</f>
        <v>0</v>
      </c>
      <c r="AK53" s="256">
        <f>0</f>
        <v>0</v>
      </c>
      <c r="AL53" s="255">
        <f>0</f>
        <v>0</v>
      </c>
    </row>
    <row r="54" spans="1:39" ht="38.25" customHeight="1" outlineLevel="2">
      <c r="A54" s="311" t="s">
        <v>39</v>
      </c>
      <c r="B54" s="263" t="s">
        <v>253</v>
      </c>
      <c r="C54" s="262"/>
      <c r="D54" s="264" t="s">
        <v>252</v>
      </c>
      <c r="E54" s="289">
        <f>0.0227</f>
        <v>2.2700000000000001E-2</v>
      </c>
      <c r="F54" s="288">
        <f>0.2106</f>
        <v>0.21060000000000001</v>
      </c>
      <c r="G54" s="288">
        <f>0.2237</f>
        <v>0.22370000000000001</v>
      </c>
      <c r="H54" s="287">
        <f>0.0761</f>
        <v>7.6100000000000001E-2</v>
      </c>
      <c r="I54" s="286">
        <f>0.0993</f>
        <v>9.9299999999999999E-2</v>
      </c>
      <c r="J54" s="285">
        <f>0.0293</f>
        <v>2.93E-2</v>
      </c>
      <c r="K54" s="285">
        <f>0.0436</f>
        <v>4.36E-2</v>
      </c>
      <c r="L54" s="285">
        <f>0.0587</f>
        <v>5.8700000000000002E-2</v>
      </c>
      <c r="M54" s="285">
        <f>0.0671</f>
        <v>6.7100000000000007E-2</v>
      </c>
      <c r="N54" s="285">
        <f>0.0632</f>
        <v>6.3200000000000006E-2</v>
      </c>
      <c r="O54" s="285">
        <f>0.0922</f>
        <v>9.2200000000000004E-2</v>
      </c>
      <c r="P54" s="285">
        <f>0.0911</f>
        <v>9.11E-2</v>
      </c>
      <c r="Q54" s="285">
        <f>0.0793</f>
        <v>7.9299999999999995E-2</v>
      </c>
      <c r="R54" s="285">
        <f>0.0799</f>
        <v>7.9899999999999999E-2</v>
      </c>
      <c r="S54" s="285">
        <f>0.0825</f>
        <v>8.2500000000000004E-2</v>
      </c>
      <c r="T54" s="285">
        <f>0.0777</f>
        <v>7.7700000000000005E-2</v>
      </c>
      <c r="U54" s="285">
        <f>0.0214</f>
        <v>2.1399999999999999E-2</v>
      </c>
      <c r="V54" s="285">
        <f>0</f>
        <v>0</v>
      </c>
      <c r="W54" s="285">
        <f>0</f>
        <v>0</v>
      </c>
      <c r="X54" s="285">
        <f>0</f>
        <v>0</v>
      </c>
      <c r="Y54" s="285">
        <f>0</f>
        <v>0</v>
      </c>
      <c r="Z54" s="285">
        <f>0</f>
        <v>0</v>
      </c>
      <c r="AA54" s="285">
        <f>0</f>
        <v>0</v>
      </c>
      <c r="AB54" s="285">
        <f>0</f>
        <v>0</v>
      </c>
      <c r="AC54" s="285">
        <f>0</f>
        <v>0</v>
      </c>
      <c r="AD54" s="285">
        <f>0</f>
        <v>0</v>
      </c>
      <c r="AE54" s="285">
        <f>0</f>
        <v>0</v>
      </c>
      <c r="AF54" s="285">
        <f>0</f>
        <v>0</v>
      </c>
      <c r="AG54" s="285">
        <f>0</f>
        <v>0</v>
      </c>
      <c r="AH54" s="285">
        <f>0</f>
        <v>0</v>
      </c>
      <c r="AI54" s="285">
        <f>0</f>
        <v>0</v>
      </c>
      <c r="AJ54" s="285">
        <f>0</f>
        <v>0</v>
      </c>
      <c r="AK54" s="285">
        <f>0</f>
        <v>0</v>
      </c>
      <c r="AL54" s="284">
        <f>0</f>
        <v>0</v>
      </c>
    </row>
    <row r="55" spans="1:39" ht="15" customHeight="1" outlineLevel="3">
      <c r="A55" s="311" t="s">
        <v>39</v>
      </c>
      <c r="B55" s="292" t="s">
        <v>251</v>
      </c>
      <c r="C55" s="291"/>
      <c r="D55" s="290" t="s">
        <v>250</v>
      </c>
      <c r="E55" s="289">
        <f>+IF(E5&lt;&gt;0,(E6+E14-E17)/E5,0)</f>
        <v>-4.6592826808022118E-2</v>
      </c>
      <c r="F55" s="288">
        <f>+IF(F5&lt;&gt;0,(F6+F14-F17)/F5,0)</f>
        <v>8.657875168781512E-3</v>
      </c>
      <c r="G55" s="288">
        <f>+IF(G5&lt;&gt;0,(G6+G14-G17)/G5,0)</f>
        <v>9.0846420289276992E-3</v>
      </c>
      <c r="H55" s="287">
        <f>+IF(H5&lt;&gt;0,(H6+H14-H17)/H5,0)</f>
        <v>3.8307785355365713E-2</v>
      </c>
      <c r="I55" s="286">
        <f>+IF(I5&lt;&gt;0,(I6+I14-I17)/I5,0)</f>
        <v>6.1542294274070437E-2</v>
      </c>
      <c r="J55" s="285">
        <f t="shared" ref="J55:AL55" si="1">+IF(J5&lt;&gt;0,(J6+J14-J17)/J5,0)</f>
        <v>9.1970231121525192E-2</v>
      </c>
      <c r="K55" s="285">
        <f t="shared" si="1"/>
        <v>0.14773842105263157</v>
      </c>
      <c r="L55" s="285">
        <f t="shared" si="1"/>
        <v>0.12305932603651148</v>
      </c>
      <c r="M55" s="285">
        <f t="shared" si="1"/>
        <v>0.11042004391762987</v>
      </c>
      <c r="N55" s="285">
        <f t="shared" si="1"/>
        <v>0.112939210624147</v>
      </c>
      <c r="O55" s="285">
        <f t="shared" si="1"/>
        <v>0.11532831916013073</v>
      </c>
      <c r="P55" s="285">
        <f t="shared" si="1"/>
        <v>0.11950683681370469</v>
      </c>
      <c r="Q55" s="285">
        <f t="shared" si="1"/>
        <v>0.12376570937060777</v>
      </c>
      <c r="R55" s="285">
        <f t="shared" si="1"/>
        <v>0.12748603757744695</v>
      </c>
      <c r="S55" s="285">
        <f t="shared" si="1"/>
        <v>0.13138574849795245</v>
      </c>
      <c r="T55" s="285">
        <f t="shared" si="1"/>
        <v>0.13553476495624567</v>
      </c>
      <c r="U55" s="285">
        <f t="shared" si="1"/>
        <v>0.13958017754029131</v>
      </c>
      <c r="V55" s="285">
        <f t="shared" si="1"/>
        <v>0</v>
      </c>
      <c r="W55" s="285">
        <f t="shared" si="1"/>
        <v>0</v>
      </c>
      <c r="X55" s="285">
        <f t="shared" si="1"/>
        <v>0</v>
      </c>
      <c r="Y55" s="285">
        <f t="shared" si="1"/>
        <v>0</v>
      </c>
      <c r="Z55" s="285">
        <f t="shared" si="1"/>
        <v>0</v>
      </c>
      <c r="AA55" s="285">
        <f t="shared" si="1"/>
        <v>0</v>
      </c>
      <c r="AB55" s="285">
        <f t="shared" si="1"/>
        <v>0</v>
      </c>
      <c r="AC55" s="285">
        <f t="shared" si="1"/>
        <v>0</v>
      </c>
      <c r="AD55" s="285">
        <f t="shared" si="1"/>
        <v>0</v>
      </c>
      <c r="AE55" s="285">
        <f t="shared" si="1"/>
        <v>0</v>
      </c>
      <c r="AF55" s="285">
        <f t="shared" si="1"/>
        <v>0</v>
      </c>
      <c r="AG55" s="285">
        <f t="shared" si="1"/>
        <v>0</v>
      </c>
      <c r="AH55" s="285">
        <f t="shared" si="1"/>
        <v>0</v>
      </c>
      <c r="AI55" s="285">
        <f t="shared" si="1"/>
        <v>0</v>
      </c>
      <c r="AJ55" s="285">
        <f t="shared" si="1"/>
        <v>0</v>
      </c>
      <c r="AK55" s="285">
        <f t="shared" si="1"/>
        <v>0</v>
      </c>
      <c r="AL55" s="284">
        <f t="shared" si="1"/>
        <v>0</v>
      </c>
    </row>
    <row r="56" spans="1:39" ht="38.25" customHeight="1" outlineLevel="2">
      <c r="A56" s="311" t="s">
        <v>39</v>
      </c>
      <c r="B56" s="263" t="s">
        <v>249</v>
      </c>
      <c r="C56" s="262"/>
      <c r="D56" s="264" t="s">
        <v>248</v>
      </c>
      <c r="E56" s="270" t="s">
        <v>39</v>
      </c>
      <c r="F56" s="269" t="s">
        <v>39</v>
      </c>
      <c r="G56" s="269" t="s">
        <v>39</v>
      </c>
      <c r="H56" s="268" t="s">
        <v>39</v>
      </c>
      <c r="I56" s="286">
        <f>-0.0096</f>
        <v>-9.5999999999999992E-3</v>
      </c>
      <c r="J56" s="285">
        <f>0.0264</f>
        <v>2.64E-2</v>
      </c>
      <c r="K56" s="285">
        <f>0.0542</f>
        <v>5.4199999999999998E-2</v>
      </c>
      <c r="L56" s="285">
        <f>0.1004</f>
        <v>0.1004</v>
      </c>
      <c r="M56" s="285">
        <f>0.1209</f>
        <v>0.12089999999999999</v>
      </c>
      <c r="N56" s="285">
        <f>0.1271</f>
        <v>0.12709999999999999</v>
      </c>
      <c r="O56" s="285">
        <f>0.1155</f>
        <v>0.11550000000000001</v>
      </c>
      <c r="P56" s="285">
        <f>0.1129</f>
        <v>0.1129</v>
      </c>
      <c r="Q56" s="285">
        <f>0.1159</f>
        <v>0.1159</v>
      </c>
      <c r="R56" s="285">
        <f>0.1195</f>
        <v>0.1195</v>
      </c>
      <c r="S56" s="285">
        <f>0.1236</f>
        <v>0.1236</v>
      </c>
      <c r="T56" s="285">
        <f>0.1276</f>
        <v>0.12759999999999999</v>
      </c>
      <c r="U56" s="285">
        <f>0.1315</f>
        <v>0.13150000000000001</v>
      </c>
      <c r="V56" s="285">
        <f>0</f>
        <v>0</v>
      </c>
      <c r="W56" s="285">
        <f>0</f>
        <v>0</v>
      </c>
      <c r="X56" s="285">
        <f>0</f>
        <v>0</v>
      </c>
      <c r="Y56" s="285">
        <f>0</f>
        <v>0</v>
      </c>
      <c r="Z56" s="285">
        <f>0</f>
        <v>0</v>
      </c>
      <c r="AA56" s="285">
        <f>0</f>
        <v>0</v>
      </c>
      <c r="AB56" s="285">
        <f>0</f>
        <v>0</v>
      </c>
      <c r="AC56" s="285">
        <f>0</f>
        <v>0</v>
      </c>
      <c r="AD56" s="285">
        <f>0</f>
        <v>0</v>
      </c>
      <c r="AE56" s="285">
        <f>0</f>
        <v>0</v>
      </c>
      <c r="AF56" s="285">
        <f>0</f>
        <v>0</v>
      </c>
      <c r="AG56" s="285">
        <f>0</f>
        <v>0</v>
      </c>
      <c r="AH56" s="285">
        <f>0</f>
        <v>0</v>
      </c>
      <c r="AI56" s="285">
        <f>0</f>
        <v>0</v>
      </c>
      <c r="AJ56" s="285">
        <f>0</f>
        <v>0</v>
      </c>
      <c r="AK56" s="285">
        <f>0</f>
        <v>0</v>
      </c>
      <c r="AL56" s="284">
        <f>0</f>
        <v>0</v>
      </c>
    </row>
    <row r="57" spans="1:39" ht="38.25" customHeight="1" outlineLevel="2">
      <c r="A57" s="311" t="s">
        <v>39</v>
      </c>
      <c r="B57" s="263" t="s">
        <v>247</v>
      </c>
      <c r="C57" s="262"/>
      <c r="D57" s="261" t="s">
        <v>246</v>
      </c>
      <c r="E57" s="270" t="s">
        <v>39</v>
      </c>
      <c r="F57" s="269" t="s">
        <v>39</v>
      </c>
      <c r="G57" s="269" t="s">
        <v>39</v>
      </c>
      <c r="H57" s="268" t="s">
        <v>39</v>
      </c>
      <c r="I57" s="286">
        <f>0.0001</f>
        <v>1E-4</v>
      </c>
      <c r="J57" s="285">
        <f>0.0362</f>
        <v>3.6200000000000003E-2</v>
      </c>
      <c r="K57" s="285">
        <f>0.0639</f>
        <v>6.3899999999999998E-2</v>
      </c>
      <c r="L57" s="285">
        <f>0.1004</f>
        <v>0.1004</v>
      </c>
      <c r="M57" s="285">
        <f>0.1209</f>
        <v>0.12089999999999999</v>
      </c>
      <c r="N57" s="285">
        <f>0.1271</f>
        <v>0.12709999999999999</v>
      </c>
      <c r="O57" s="285">
        <f>0.1155</f>
        <v>0.11550000000000001</v>
      </c>
      <c r="P57" s="285">
        <f>0.1129</f>
        <v>0.1129</v>
      </c>
      <c r="Q57" s="285">
        <f>0.1159</f>
        <v>0.1159</v>
      </c>
      <c r="R57" s="285">
        <f>0.1195</f>
        <v>0.1195</v>
      </c>
      <c r="S57" s="285">
        <f>0.1236</f>
        <v>0.1236</v>
      </c>
      <c r="T57" s="285">
        <f>0.1276</f>
        <v>0.12759999999999999</v>
      </c>
      <c r="U57" s="285">
        <f>0.1315</f>
        <v>0.13150000000000001</v>
      </c>
      <c r="V57" s="285">
        <f>0</f>
        <v>0</v>
      </c>
      <c r="W57" s="285">
        <f>0</f>
        <v>0</v>
      </c>
      <c r="X57" s="285">
        <f>0</f>
        <v>0</v>
      </c>
      <c r="Y57" s="285">
        <f>0</f>
        <v>0</v>
      </c>
      <c r="Z57" s="285">
        <f>0</f>
        <v>0</v>
      </c>
      <c r="AA57" s="285">
        <f>0</f>
        <v>0</v>
      </c>
      <c r="AB57" s="285">
        <f>0</f>
        <v>0</v>
      </c>
      <c r="AC57" s="285">
        <f>0</f>
        <v>0</v>
      </c>
      <c r="AD57" s="285">
        <f>0</f>
        <v>0</v>
      </c>
      <c r="AE57" s="285">
        <f>0</f>
        <v>0</v>
      </c>
      <c r="AF57" s="285">
        <f>0</f>
        <v>0</v>
      </c>
      <c r="AG57" s="285">
        <f>0</f>
        <v>0</v>
      </c>
      <c r="AH57" s="285">
        <f>0</f>
        <v>0</v>
      </c>
      <c r="AI57" s="285">
        <f>0</f>
        <v>0</v>
      </c>
      <c r="AJ57" s="285">
        <f>0</f>
        <v>0</v>
      </c>
      <c r="AK57" s="285">
        <f>0</f>
        <v>0</v>
      </c>
      <c r="AL57" s="284">
        <f>0</f>
        <v>0</v>
      </c>
    </row>
    <row r="58" spans="1:39" ht="49.5" customHeight="1" outlineLevel="2">
      <c r="A58" s="311" t="s">
        <v>39</v>
      </c>
      <c r="B58" s="263" t="s">
        <v>245</v>
      </c>
      <c r="C58" s="262"/>
      <c r="D58" s="264" t="s">
        <v>244</v>
      </c>
      <c r="E58" s="270" t="s">
        <v>39</v>
      </c>
      <c r="F58" s="269" t="s">
        <v>39</v>
      </c>
      <c r="G58" s="269" t="s">
        <v>39</v>
      </c>
      <c r="H58" s="268" t="s">
        <v>39</v>
      </c>
      <c r="I58" s="316" t="str">
        <f>IF(I54&lt;=I56,"Spełniona","Nie spełniona")</f>
        <v>Nie spełniona</v>
      </c>
      <c r="J58" s="283" t="str">
        <f t="shared" ref="J58:AL58" si="2">IF(J54&lt;=J56,"Spełniona","Nie spełniona")</f>
        <v>Nie spełniona</v>
      </c>
      <c r="K58" s="283" t="str">
        <f t="shared" si="2"/>
        <v>Spełniona</v>
      </c>
      <c r="L58" s="283" t="str">
        <f t="shared" si="2"/>
        <v>Spełniona</v>
      </c>
      <c r="M58" s="283" t="str">
        <f t="shared" si="2"/>
        <v>Spełniona</v>
      </c>
      <c r="N58" s="283" t="str">
        <f t="shared" si="2"/>
        <v>Spełniona</v>
      </c>
      <c r="O58" s="283" t="str">
        <f t="shared" si="2"/>
        <v>Spełniona</v>
      </c>
      <c r="P58" s="283" t="str">
        <f t="shared" si="2"/>
        <v>Spełniona</v>
      </c>
      <c r="Q58" s="283" t="str">
        <f t="shared" si="2"/>
        <v>Spełniona</v>
      </c>
      <c r="R58" s="283" t="str">
        <f t="shared" si="2"/>
        <v>Spełniona</v>
      </c>
      <c r="S58" s="283" t="str">
        <f t="shared" si="2"/>
        <v>Spełniona</v>
      </c>
      <c r="T58" s="283" t="str">
        <f t="shared" si="2"/>
        <v>Spełniona</v>
      </c>
      <c r="U58" s="283" t="str">
        <f t="shared" si="2"/>
        <v>Spełniona</v>
      </c>
      <c r="V58" s="283" t="str">
        <f t="shared" si="2"/>
        <v>Spełniona</v>
      </c>
      <c r="W58" s="283" t="str">
        <f t="shared" si="2"/>
        <v>Spełniona</v>
      </c>
      <c r="X58" s="283" t="str">
        <f t="shared" si="2"/>
        <v>Spełniona</v>
      </c>
      <c r="Y58" s="283" t="str">
        <f t="shared" si="2"/>
        <v>Spełniona</v>
      </c>
      <c r="Z58" s="283" t="str">
        <f t="shared" si="2"/>
        <v>Spełniona</v>
      </c>
      <c r="AA58" s="283" t="str">
        <f t="shared" si="2"/>
        <v>Spełniona</v>
      </c>
      <c r="AB58" s="283" t="str">
        <f t="shared" si="2"/>
        <v>Spełniona</v>
      </c>
      <c r="AC58" s="283" t="str">
        <f t="shared" si="2"/>
        <v>Spełniona</v>
      </c>
      <c r="AD58" s="283" t="str">
        <f t="shared" si="2"/>
        <v>Spełniona</v>
      </c>
      <c r="AE58" s="283" t="str">
        <f t="shared" si="2"/>
        <v>Spełniona</v>
      </c>
      <c r="AF58" s="283" t="str">
        <f t="shared" si="2"/>
        <v>Spełniona</v>
      </c>
      <c r="AG58" s="283" t="str">
        <f t="shared" si="2"/>
        <v>Spełniona</v>
      </c>
      <c r="AH58" s="283" t="str">
        <f t="shared" si="2"/>
        <v>Spełniona</v>
      </c>
      <c r="AI58" s="283" t="str">
        <f t="shared" si="2"/>
        <v>Spełniona</v>
      </c>
      <c r="AJ58" s="283" t="str">
        <f t="shared" si="2"/>
        <v>Spełniona</v>
      </c>
      <c r="AK58" s="283" t="str">
        <f t="shared" si="2"/>
        <v>Spełniona</v>
      </c>
      <c r="AL58" s="282" t="str">
        <f t="shared" si="2"/>
        <v>Spełniona</v>
      </c>
    </row>
    <row r="59" spans="1:39" ht="49.5" customHeight="1" outlineLevel="2">
      <c r="A59" s="311" t="s">
        <v>39</v>
      </c>
      <c r="B59" s="263" t="s">
        <v>243</v>
      </c>
      <c r="C59" s="262"/>
      <c r="D59" s="261" t="s">
        <v>242</v>
      </c>
      <c r="E59" s="270" t="s">
        <v>39</v>
      </c>
      <c r="F59" s="269" t="s">
        <v>39</v>
      </c>
      <c r="G59" s="269" t="s">
        <v>39</v>
      </c>
      <c r="H59" s="268" t="s">
        <v>39</v>
      </c>
      <c r="I59" s="316" t="str">
        <f>IF(I54&lt;=I57,"Spełniona","Nie spełniona")</f>
        <v>Nie spełniona</v>
      </c>
      <c r="J59" s="283" t="str">
        <f t="shared" ref="J59:AL59" si="3">IF(J54&lt;=J57,"Spełniona","Nie spełniona")</f>
        <v>Spełniona</v>
      </c>
      <c r="K59" s="283" t="str">
        <f t="shared" si="3"/>
        <v>Spełniona</v>
      </c>
      <c r="L59" s="283" t="str">
        <f t="shared" si="3"/>
        <v>Spełniona</v>
      </c>
      <c r="M59" s="283" t="str">
        <f t="shared" si="3"/>
        <v>Spełniona</v>
      </c>
      <c r="N59" s="283" t="str">
        <f t="shared" si="3"/>
        <v>Spełniona</v>
      </c>
      <c r="O59" s="283" t="str">
        <f t="shared" si="3"/>
        <v>Spełniona</v>
      </c>
      <c r="P59" s="283" t="str">
        <f t="shared" si="3"/>
        <v>Spełniona</v>
      </c>
      <c r="Q59" s="283" t="str">
        <f t="shared" si="3"/>
        <v>Spełniona</v>
      </c>
      <c r="R59" s="283" t="str">
        <f t="shared" si="3"/>
        <v>Spełniona</v>
      </c>
      <c r="S59" s="283" t="str">
        <f t="shared" si="3"/>
        <v>Spełniona</v>
      </c>
      <c r="T59" s="283" t="str">
        <f t="shared" si="3"/>
        <v>Spełniona</v>
      </c>
      <c r="U59" s="283" t="str">
        <f t="shared" si="3"/>
        <v>Spełniona</v>
      </c>
      <c r="V59" s="283" t="str">
        <f t="shared" si="3"/>
        <v>Spełniona</v>
      </c>
      <c r="W59" s="283" t="str">
        <f t="shared" si="3"/>
        <v>Spełniona</v>
      </c>
      <c r="X59" s="283" t="str">
        <f t="shared" si="3"/>
        <v>Spełniona</v>
      </c>
      <c r="Y59" s="283" t="str">
        <f t="shared" si="3"/>
        <v>Spełniona</v>
      </c>
      <c r="Z59" s="283" t="str">
        <f t="shared" si="3"/>
        <v>Spełniona</v>
      </c>
      <c r="AA59" s="283" t="str">
        <f t="shared" si="3"/>
        <v>Spełniona</v>
      </c>
      <c r="AB59" s="283" t="str">
        <f t="shared" si="3"/>
        <v>Spełniona</v>
      </c>
      <c r="AC59" s="283" t="str">
        <f t="shared" si="3"/>
        <v>Spełniona</v>
      </c>
      <c r="AD59" s="283" t="str">
        <f t="shared" si="3"/>
        <v>Spełniona</v>
      </c>
      <c r="AE59" s="283" t="str">
        <f t="shared" si="3"/>
        <v>Spełniona</v>
      </c>
      <c r="AF59" s="283" t="str">
        <f t="shared" si="3"/>
        <v>Spełniona</v>
      </c>
      <c r="AG59" s="283" t="str">
        <f t="shared" si="3"/>
        <v>Spełniona</v>
      </c>
      <c r="AH59" s="283" t="str">
        <f t="shared" si="3"/>
        <v>Spełniona</v>
      </c>
      <c r="AI59" s="283" t="str">
        <f t="shared" si="3"/>
        <v>Spełniona</v>
      </c>
      <c r="AJ59" s="283" t="str">
        <f t="shared" si="3"/>
        <v>Spełniona</v>
      </c>
      <c r="AK59" s="283" t="str">
        <f t="shared" si="3"/>
        <v>Spełniona</v>
      </c>
      <c r="AL59" s="282" t="str">
        <f t="shared" si="3"/>
        <v>Spełniona</v>
      </c>
    </row>
    <row r="60" spans="1:39" ht="15" customHeight="1" outlineLevel="1">
      <c r="B60" s="273">
        <v>10</v>
      </c>
      <c r="C60" s="272"/>
      <c r="D60" s="271" t="s">
        <v>241</v>
      </c>
      <c r="E60" s="281">
        <f>0</f>
        <v>0</v>
      </c>
      <c r="F60" s="280">
        <f>0</f>
        <v>0</v>
      </c>
      <c r="G60" s="280">
        <f>0</f>
        <v>0</v>
      </c>
      <c r="H60" s="279">
        <f>0</f>
        <v>0</v>
      </c>
      <c r="I60" s="278">
        <f>0</f>
        <v>0</v>
      </c>
      <c r="J60" s="277">
        <f>500000</f>
        <v>500000</v>
      </c>
      <c r="K60" s="277">
        <f>100000</f>
        <v>100000</v>
      </c>
      <c r="L60" s="277">
        <f>400000</f>
        <v>400000</v>
      </c>
      <c r="M60" s="277">
        <f>600000</f>
        <v>600000</v>
      </c>
      <c r="N60" s="277">
        <f>600000</f>
        <v>600000</v>
      </c>
      <c r="O60" s="277">
        <f>1200000</f>
        <v>1200000</v>
      </c>
      <c r="P60" s="277">
        <f>1300000</f>
        <v>1300000</v>
      </c>
      <c r="Q60" s="277">
        <f>1200000</f>
        <v>1200000</v>
      </c>
      <c r="R60" s="277">
        <f>1330000</f>
        <v>1330000</v>
      </c>
      <c r="S60" s="277">
        <f>1510000</f>
        <v>1510000</v>
      </c>
      <c r="T60" s="277">
        <f>1548000</f>
        <v>1548000</v>
      </c>
      <c r="U60" s="277">
        <f>465000</f>
        <v>465000</v>
      </c>
      <c r="V60" s="277">
        <f>0</f>
        <v>0</v>
      </c>
      <c r="W60" s="277">
        <f>0</f>
        <v>0</v>
      </c>
      <c r="X60" s="277">
        <f>0</f>
        <v>0</v>
      </c>
      <c r="Y60" s="277">
        <f>0</f>
        <v>0</v>
      </c>
      <c r="Z60" s="277">
        <f>0</f>
        <v>0</v>
      </c>
      <c r="AA60" s="277">
        <f>0</f>
        <v>0</v>
      </c>
      <c r="AB60" s="277">
        <f>0</f>
        <v>0</v>
      </c>
      <c r="AC60" s="277">
        <f>0</f>
        <v>0</v>
      </c>
      <c r="AD60" s="277">
        <f>0</f>
        <v>0</v>
      </c>
      <c r="AE60" s="277">
        <f>0</f>
        <v>0</v>
      </c>
      <c r="AF60" s="277">
        <f>0</f>
        <v>0</v>
      </c>
      <c r="AG60" s="277">
        <f>0</f>
        <v>0</v>
      </c>
      <c r="AH60" s="277">
        <f>0</f>
        <v>0</v>
      </c>
      <c r="AI60" s="277">
        <f>0</f>
        <v>0</v>
      </c>
      <c r="AJ60" s="277">
        <f>0</f>
        <v>0</v>
      </c>
      <c r="AK60" s="277">
        <f>0</f>
        <v>0</v>
      </c>
      <c r="AL60" s="276">
        <f>0</f>
        <v>0</v>
      </c>
      <c r="AM60" s="30"/>
    </row>
    <row r="61" spans="1:39" ht="15" customHeight="1" outlineLevel="2">
      <c r="B61" s="263" t="s">
        <v>240</v>
      </c>
      <c r="C61" s="262"/>
      <c r="D61" s="264" t="s">
        <v>239</v>
      </c>
      <c r="E61" s="260">
        <f>0</f>
        <v>0</v>
      </c>
      <c r="F61" s="259">
        <f>0</f>
        <v>0</v>
      </c>
      <c r="G61" s="259">
        <f>0</f>
        <v>0</v>
      </c>
      <c r="H61" s="258">
        <f>0</f>
        <v>0</v>
      </c>
      <c r="I61" s="257">
        <f>0</f>
        <v>0</v>
      </c>
      <c r="J61" s="256">
        <f>500000</f>
        <v>500000</v>
      </c>
      <c r="K61" s="256">
        <f>100000</f>
        <v>100000</v>
      </c>
      <c r="L61" s="256">
        <f>400000</f>
        <v>400000</v>
      </c>
      <c r="M61" s="256">
        <f>600000</f>
        <v>600000</v>
      </c>
      <c r="N61" s="256">
        <f>600000</f>
        <v>600000</v>
      </c>
      <c r="O61" s="256">
        <f>1200000</f>
        <v>1200000</v>
      </c>
      <c r="P61" s="256">
        <f>1300000</f>
        <v>1300000</v>
      </c>
      <c r="Q61" s="256">
        <f>1200000</f>
        <v>1200000</v>
      </c>
      <c r="R61" s="256">
        <f>1330000</f>
        <v>1330000</v>
      </c>
      <c r="S61" s="256">
        <f>1510000</f>
        <v>1510000</v>
      </c>
      <c r="T61" s="256">
        <f>1548000</f>
        <v>1548000</v>
      </c>
      <c r="U61" s="256">
        <f>465000</f>
        <v>465000</v>
      </c>
      <c r="V61" s="256">
        <f>0</f>
        <v>0</v>
      </c>
      <c r="W61" s="256">
        <f>0</f>
        <v>0</v>
      </c>
      <c r="X61" s="256">
        <f>0</f>
        <v>0</v>
      </c>
      <c r="Y61" s="256">
        <f>0</f>
        <v>0</v>
      </c>
      <c r="Z61" s="256">
        <f>0</f>
        <v>0</v>
      </c>
      <c r="AA61" s="256">
        <f>0</f>
        <v>0</v>
      </c>
      <c r="AB61" s="256">
        <f>0</f>
        <v>0</v>
      </c>
      <c r="AC61" s="256">
        <f>0</f>
        <v>0</v>
      </c>
      <c r="AD61" s="256">
        <f>0</f>
        <v>0</v>
      </c>
      <c r="AE61" s="256">
        <f>0</f>
        <v>0</v>
      </c>
      <c r="AF61" s="256">
        <f>0</f>
        <v>0</v>
      </c>
      <c r="AG61" s="256">
        <f>0</f>
        <v>0</v>
      </c>
      <c r="AH61" s="256">
        <f>0</f>
        <v>0</v>
      </c>
      <c r="AI61" s="256">
        <f>0</f>
        <v>0</v>
      </c>
      <c r="AJ61" s="256">
        <f>0</f>
        <v>0</v>
      </c>
      <c r="AK61" s="256">
        <f>0</f>
        <v>0</v>
      </c>
      <c r="AL61" s="255">
        <f>0</f>
        <v>0</v>
      </c>
    </row>
    <row r="62" spans="1:39" ht="15" customHeight="1" outlineLevel="1">
      <c r="B62" s="273">
        <v>11</v>
      </c>
      <c r="C62" s="272"/>
      <c r="D62" s="271" t="s">
        <v>238</v>
      </c>
      <c r="E62" s="270" t="s">
        <v>39</v>
      </c>
      <c r="F62" s="269" t="s">
        <v>39</v>
      </c>
      <c r="G62" s="269" t="s">
        <v>39</v>
      </c>
      <c r="H62" s="268" t="s">
        <v>39</v>
      </c>
      <c r="I62" s="267" t="s">
        <v>39</v>
      </c>
      <c r="J62" s="266" t="s">
        <v>39</v>
      </c>
      <c r="K62" s="266" t="s">
        <v>39</v>
      </c>
      <c r="L62" s="266" t="s">
        <v>39</v>
      </c>
      <c r="M62" s="266" t="s">
        <v>39</v>
      </c>
      <c r="N62" s="266" t="s">
        <v>39</v>
      </c>
      <c r="O62" s="266" t="s">
        <v>39</v>
      </c>
      <c r="P62" s="266" t="s">
        <v>39</v>
      </c>
      <c r="Q62" s="266" t="s">
        <v>39</v>
      </c>
      <c r="R62" s="266" t="s">
        <v>39</v>
      </c>
      <c r="S62" s="266" t="s">
        <v>39</v>
      </c>
      <c r="T62" s="266" t="s">
        <v>39</v>
      </c>
      <c r="U62" s="266" t="s">
        <v>39</v>
      </c>
      <c r="V62" s="266" t="s">
        <v>39</v>
      </c>
      <c r="W62" s="266" t="s">
        <v>39</v>
      </c>
      <c r="X62" s="266" t="s">
        <v>39</v>
      </c>
      <c r="Y62" s="266" t="s">
        <v>39</v>
      </c>
      <c r="Z62" s="266" t="s">
        <v>39</v>
      </c>
      <c r="AA62" s="266" t="s">
        <v>39</v>
      </c>
      <c r="AB62" s="266" t="s">
        <v>39</v>
      </c>
      <c r="AC62" s="266" t="s">
        <v>39</v>
      </c>
      <c r="AD62" s="266" t="s">
        <v>39</v>
      </c>
      <c r="AE62" s="266" t="s">
        <v>39</v>
      </c>
      <c r="AF62" s="266" t="s">
        <v>39</v>
      </c>
      <c r="AG62" s="266" t="s">
        <v>39</v>
      </c>
      <c r="AH62" s="266" t="s">
        <v>39</v>
      </c>
      <c r="AI62" s="266" t="s">
        <v>39</v>
      </c>
      <c r="AJ62" s="266" t="s">
        <v>39</v>
      </c>
      <c r="AK62" s="266" t="s">
        <v>39</v>
      </c>
      <c r="AL62" s="265" t="s">
        <v>39</v>
      </c>
      <c r="AM62" s="30"/>
    </row>
    <row r="63" spans="1:39" ht="15" customHeight="1" outlineLevel="2">
      <c r="B63" s="263" t="s">
        <v>237</v>
      </c>
      <c r="C63" s="262"/>
      <c r="D63" s="264" t="s">
        <v>236</v>
      </c>
      <c r="E63" s="260">
        <f>0</f>
        <v>0</v>
      </c>
      <c r="F63" s="259">
        <f>5923327</f>
        <v>5923327</v>
      </c>
      <c r="G63" s="259">
        <f>6553390.09</f>
        <v>6553390.0899999999</v>
      </c>
      <c r="H63" s="258">
        <f>6453390.09</f>
        <v>6453390.0899999999</v>
      </c>
      <c r="I63" s="257">
        <f>6715934</f>
        <v>6715934</v>
      </c>
      <c r="J63" s="256">
        <f>6758808</f>
        <v>6758808</v>
      </c>
      <c r="K63" s="256">
        <f>6961573</f>
        <v>6961573</v>
      </c>
      <c r="L63" s="256">
        <f>7170420</f>
        <v>7170420</v>
      </c>
      <c r="M63" s="256">
        <f>7385532</f>
        <v>7385532</v>
      </c>
      <c r="N63" s="256">
        <f>7607098</f>
        <v>7607098</v>
      </c>
      <c r="O63" s="256">
        <f>7835311</f>
        <v>7835311</v>
      </c>
      <c r="P63" s="256">
        <f>8070371</f>
        <v>8070371</v>
      </c>
      <c r="Q63" s="256">
        <f>8312482</f>
        <v>8312482</v>
      </c>
      <c r="R63" s="256">
        <f>8561856</f>
        <v>8561856</v>
      </c>
      <c r="S63" s="256">
        <f>8818712</f>
        <v>8818712</v>
      </c>
      <c r="T63" s="256">
        <f>9083273</f>
        <v>9083273</v>
      </c>
      <c r="U63" s="256">
        <f>9355771</f>
        <v>9355771</v>
      </c>
      <c r="V63" s="256">
        <f>0</f>
        <v>0</v>
      </c>
      <c r="W63" s="256">
        <f>0</f>
        <v>0</v>
      </c>
      <c r="X63" s="256">
        <f>0</f>
        <v>0</v>
      </c>
      <c r="Y63" s="256">
        <f>0</f>
        <v>0</v>
      </c>
      <c r="Z63" s="256">
        <f>0</f>
        <v>0</v>
      </c>
      <c r="AA63" s="256">
        <f>0</f>
        <v>0</v>
      </c>
      <c r="AB63" s="256">
        <f>0</f>
        <v>0</v>
      </c>
      <c r="AC63" s="256">
        <f>0</f>
        <v>0</v>
      </c>
      <c r="AD63" s="256">
        <f>0</f>
        <v>0</v>
      </c>
      <c r="AE63" s="256">
        <f>0</f>
        <v>0</v>
      </c>
      <c r="AF63" s="256">
        <f>0</f>
        <v>0</v>
      </c>
      <c r="AG63" s="256">
        <f>0</f>
        <v>0</v>
      </c>
      <c r="AH63" s="256">
        <f>0</f>
        <v>0</v>
      </c>
      <c r="AI63" s="256">
        <f>0</f>
        <v>0</v>
      </c>
      <c r="AJ63" s="256">
        <f>0</f>
        <v>0</v>
      </c>
      <c r="AK63" s="256">
        <f>0</f>
        <v>0</v>
      </c>
      <c r="AL63" s="255">
        <f>0</f>
        <v>0</v>
      </c>
    </row>
    <row r="64" spans="1:39" ht="15" customHeight="1" outlineLevel="2">
      <c r="B64" s="263" t="s">
        <v>235</v>
      </c>
      <c r="C64" s="262"/>
      <c r="D64" s="264" t="s">
        <v>234</v>
      </c>
      <c r="E64" s="260">
        <f>2273739.15</f>
        <v>2273739.15</v>
      </c>
      <c r="F64" s="259">
        <f>2353079.52</f>
        <v>2353079.52</v>
      </c>
      <c r="G64" s="259">
        <f>0</f>
        <v>0</v>
      </c>
      <c r="H64" s="258">
        <f>2586844.97</f>
        <v>2586844.9700000002</v>
      </c>
      <c r="I64" s="257">
        <f>4067981</f>
        <v>4067981</v>
      </c>
      <c r="J64" s="256">
        <f>3200000</f>
        <v>3200000</v>
      </c>
      <c r="K64" s="256">
        <f>3250000</f>
        <v>3250000</v>
      </c>
      <c r="L64" s="256">
        <f>3300000</f>
        <v>3300000</v>
      </c>
      <c r="M64" s="256">
        <f>3400000</f>
        <v>3400000</v>
      </c>
      <c r="N64" s="256">
        <f>3500000</f>
        <v>3500000</v>
      </c>
      <c r="O64" s="256">
        <f>3600000</f>
        <v>3600000</v>
      </c>
      <c r="P64" s="256">
        <f>3700000</f>
        <v>3700000</v>
      </c>
      <c r="Q64" s="256">
        <f>3800000</f>
        <v>3800000</v>
      </c>
      <c r="R64" s="256">
        <f>3900000</f>
        <v>3900000</v>
      </c>
      <c r="S64" s="256">
        <f>4000000</f>
        <v>4000000</v>
      </c>
      <c r="T64" s="256">
        <f>4100000</f>
        <v>4100000</v>
      </c>
      <c r="U64" s="256">
        <f>4200000</f>
        <v>4200000</v>
      </c>
      <c r="V64" s="256">
        <f>0</f>
        <v>0</v>
      </c>
      <c r="W64" s="256">
        <f>0</f>
        <v>0</v>
      </c>
      <c r="X64" s="256">
        <f>0</f>
        <v>0</v>
      </c>
      <c r="Y64" s="256">
        <f>0</f>
        <v>0</v>
      </c>
      <c r="Z64" s="256">
        <f>0</f>
        <v>0</v>
      </c>
      <c r="AA64" s="256">
        <f>0</f>
        <v>0</v>
      </c>
      <c r="AB64" s="256">
        <f>0</f>
        <v>0</v>
      </c>
      <c r="AC64" s="256">
        <f>0</f>
        <v>0</v>
      </c>
      <c r="AD64" s="256">
        <f>0</f>
        <v>0</v>
      </c>
      <c r="AE64" s="256">
        <f>0</f>
        <v>0</v>
      </c>
      <c r="AF64" s="256">
        <f>0</f>
        <v>0</v>
      </c>
      <c r="AG64" s="256">
        <f>0</f>
        <v>0</v>
      </c>
      <c r="AH64" s="256">
        <f>0</f>
        <v>0</v>
      </c>
      <c r="AI64" s="256">
        <f>0</f>
        <v>0</v>
      </c>
      <c r="AJ64" s="256">
        <f>0</f>
        <v>0</v>
      </c>
      <c r="AK64" s="256">
        <f>0</f>
        <v>0</v>
      </c>
      <c r="AL64" s="255">
        <f>0</f>
        <v>0</v>
      </c>
    </row>
    <row r="65" spans="2:39" ht="15" customHeight="1" outlineLevel="2">
      <c r="B65" s="263" t="s">
        <v>233</v>
      </c>
      <c r="C65" s="262"/>
      <c r="D65" s="264" t="s">
        <v>232</v>
      </c>
      <c r="E65" s="260">
        <f>0</f>
        <v>0</v>
      </c>
      <c r="F65" s="259">
        <f>8891064.88</f>
        <v>8891064.8800000008</v>
      </c>
      <c r="G65" s="259">
        <f>3394607</f>
        <v>3394607</v>
      </c>
      <c r="H65" s="258">
        <f>0</f>
        <v>0</v>
      </c>
      <c r="I65" s="257">
        <f>2937713</f>
        <v>2937713</v>
      </c>
      <c r="J65" s="256">
        <f>1890042</f>
        <v>1890042</v>
      </c>
      <c r="K65" s="256">
        <f>10456</f>
        <v>10456</v>
      </c>
      <c r="L65" s="256">
        <f>0</f>
        <v>0</v>
      </c>
      <c r="M65" s="256">
        <f>0</f>
        <v>0</v>
      </c>
      <c r="N65" s="256">
        <f>0</f>
        <v>0</v>
      </c>
      <c r="O65" s="256">
        <f>0</f>
        <v>0</v>
      </c>
      <c r="P65" s="256">
        <f>0</f>
        <v>0</v>
      </c>
      <c r="Q65" s="256">
        <f>0</f>
        <v>0</v>
      </c>
      <c r="R65" s="256">
        <f>0</f>
        <v>0</v>
      </c>
      <c r="S65" s="256">
        <f>0</f>
        <v>0</v>
      </c>
      <c r="T65" s="256">
        <f>0</f>
        <v>0</v>
      </c>
      <c r="U65" s="256">
        <f>0</f>
        <v>0</v>
      </c>
      <c r="V65" s="256">
        <f>0</f>
        <v>0</v>
      </c>
      <c r="W65" s="256">
        <f>0</f>
        <v>0</v>
      </c>
      <c r="X65" s="256">
        <f>0</f>
        <v>0</v>
      </c>
      <c r="Y65" s="256">
        <f>0</f>
        <v>0</v>
      </c>
      <c r="Z65" s="256">
        <f>0</f>
        <v>0</v>
      </c>
      <c r="AA65" s="256">
        <f>0</f>
        <v>0</v>
      </c>
      <c r="AB65" s="256">
        <f>0</f>
        <v>0</v>
      </c>
      <c r="AC65" s="256">
        <f>0</f>
        <v>0</v>
      </c>
      <c r="AD65" s="256">
        <f>0</f>
        <v>0</v>
      </c>
      <c r="AE65" s="256">
        <f>0</f>
        <v>0</v>
      </c>
      <c r="AF65" s="256">
        <f>0</f>
        <v>0</v>
      </c>
      <c r="AG65" s="256">
        <f>0</f>
        <v>0</v>
      </c>
      <c r="AH65" s="256">
        <f>0</f>
        <v>0</v>
      </c>
      <c r="AI65" s="256">
        <f>0</f>
        <v>0</v>
      </c>
      <c r="AJ65" s="256">
        <f>0</f>
        <v>0</v>
      </c>
      <c r="AK65" s="256">
        <f>0</f>
        <v>0</v>
      </c>
      <c r="AL65" s="255">
        <f>0</f>
        <v>0</v>
      </c>
    </row>
    <row r="66" spans="2:39" ht="15" customHeight="1" outlineLevel="3">
      <c r="B66" s="263" t="s">
        <v>231</v>
      </c>
      <c r="C66" s="262"/>
      <c r="D66" s="261" t="s">
        <v>230</v>
      </c>
      <c r="E66" s="260">
        <f>0</f>
        <v>0</v>
      </c>
      <c r="F66" s="259">
        <f>765372.88</f>
        <v>765372.88</v>
      </c>
      <c r="G66" s="259">
        <f>899105</f>
        <v>899105</v>
      </c>
      <c r="H66" s="258">
        <f>0</f>
        <v>0</v>
      </c>
      <c r="I66" s="257">
        <f>220152</f>
        <v>220152</v>
      </c>
      <c r="J66" s="256">
        <f>26738</f>
        <v>26738</v>
      </c>
      <c r="K66" s="256">
        <f>0</f>
        <v>0</v>
      </c>
      <c r="L66" s="256">
        <f>0</f>
        <v>0</v>
      </c>
      <c r="M66" s="256">
        <f>0</f>
        <v>0</v>
      </c>
      <c r="N66" s="256">
        <f>0</f>
        <v>0</v>
      </c>
      <c r="O66" s="256">
        <f>0</f>
        <v>0</v>
      </c>
      <c r="P66" s="256">
        <f>0</f>
        <v>0</v>
      </c>
      <c r="Q66" s="256">
        <f>0</f>
        <v>0</v>
      </c>
      <c r="R66" s="256">
        <f>0</f>
        <v>0</v>
      </c>
      <c r="S66" s="256">
        <f>0</f>
        <v>0</v>
      </c>
      <c r="T66" s="256">
        <f>0</f>
        <v>0</v>
      </c>
      <c r="U66" s="256">
        <f>0</f>
        <v>0</v>
      </c>
      <c r="V66" s="256">
        <f>0</f>
        <v>0</v>
      </c>
      <c r="W66" s="256">
        <f>0</f>
        <v>0</v>
      </c>
      <c r="X66" s="256">
        <f>0</f>
        <v>0</v>
      </c>
      <c r="Y66" s="256">
        <f>0</f>
        <v>0</v>
      </c>
      <c r="Z66" s="256">
        <f>0</f>
        <v>0</v>
      </c>
      <c r="AA66" s="256">
        <f>0</f>
        <v>0</v>
      </c>
      <c r="AB66" s="256">
        <f>0</f>
        <v>0</v>
      </c>
      <c r="AC66" s="256">
        <f>0</f>
        <v>0</v>
      </c>
      <c r="AD66" s="256">
        <f>0</f>
        <v>0</v>
      </c>
      <c r="AE66" s="256">
        <f>0</f>
        <v>0</v>
      </c>
      <c r="AF66" s="256">
        <f>0</f>
        <v>0</v>
      </c>
      <c r="AG66" s="256">
        <f>0</f>
        <v>0</v>
      </c>
      <c r="AH66" s="256">
        <f>0</f>
        <v>0</v>
      </c>
      <c r="AI66" s="256">
        <f>0</f>
        <v>0</v>
      </c>
      <c r="AJ66" s="256">
        <f>0</f>
        <v>0</v>
      </c>
      <c r="AK66" s="256">
        <f>0</f>
        <v>0</v>
      </c>
      <c r="AL66" s="255">
        <f>0</f>
        <v>0</v>
      </c>
    </row>
    <row r="67" spans="2:39" ht="15" customHeight="1" outlineLevel="3">
      <c r="B67" s="263" t="s">
        <v>229</v>
      </c>
      <c r="C67" s="262"/>
      <c r="D67" s="261" t="s">
        <v>228</v>
      </c>
      <c r="E67" s="260">
        <f>0</f>
        <v>0</v>
      </c>
      <c r="F67" s="259">
        <f>8125692</f>
        <v>8125692</v>
      </c>
      <c r="G67" s="259">
        <f>2495502</f>
        <v>2495502</v>
      </c>
      <c r="H67" s="258">
        <f>0</f>
        <v>0</v>
      </c>
      <c r="I67" s="257">
        <f>2717561</f>
        <v>2717561</v>
      </c>
      <c r="J67" s="256">
        <f>1863304</f>
        <v>1863304</v>
      </c>
      <c r="K67" s="256">
        <f>10456</f>
        <v>10456</v>
      </c>
      <c r="L67" s="256">
        <f>0</f>
        <v>0</v>
      </c>
      <c r="M67" s="256">
        <f>0</f>
        <v>0</v>
      </c>
      <c r="N67" s="256">
        <f>0</f>
        <v>0</v>
      </c>
      <c r="O67" s="256">
        <f>0</f>
        <v>0</v>
      </c>
      <c r="P67" s="256">
        <f>0</f>
        <v>0</v>
      </c>
      <c r="Q67" s="256">
        <f>0</f>
        <v>0</v>
      </c>
      <c r="R67" s="256">
        <f>0</f>
        <v>0</v>
      </c>
      <c r="S67" s="256">
        <f>0</f>
        <v>0</v>
      </c>
      <c r="T67" s="256">
        <f>0</f>
        <v>0</v>
      </c>
      <c r="U67" s="256">
        <f>0</f>
        <v>0</v>
      </c>
      <c r="V67" s="256">
        <f>0</f>
        <v>0</v>
      </c>
      <c r="W67" s="256">
        <f>0</f>
        <v>0</v>
      </c>
      <c r="X67" s="256">
        <f>0</f>
        <v>0</v>
      </c>
      <c r="Y67" s="256">
        <f>0</f>
        <v>0</v>
      </c>
      <c r="Z67" s="256">
        <f>0</f>
        <v>0</v>
      </c>
      <c r="AA67" s="256">
        <f>0</f>
        <v>0</v>
      </c>
      <c r="AB67" s="256">
        <f>0</f>
        <v>0</v>
      </c>
      <c r="AC67" s="256">
        <f>0</f>
        <v>0</v>
      </c>
      <c r="AD67" s="256">
        <f>0</f>
        <v>0</v>
      </c>
      <c r="AE67" s="256">
        <f>0</f>
        <v>0</v>
      </c>
      <c r="AF67" s="256">
        <f>0</f>
        <v>0</v>
      </c>
      <c r="AG67" s="256">
        <f>0</f>
        <v>0</v>
      </c>
      <c r="AH67" s="256">
        <f>0</f>
        <v>0</v>
      </c>
      <c r="AI67" s="256">
        <f>0</f>
        <v>0</v>
      </c>
      <c r="AJ67" s="256">
        <f>0</f>
        <v>0</v>
      </c>
      <c r="AK67" s="256">
        <f>0</f>
        <v>0</v>
      </c>
      <c r="AL67" s="255">
        <f>0</f>
        <v>0</v>
      </c>
    </row>
    <row r="68" spans="2:39" ht="15" customHeight="1" outlineLevel="2">
      <c r="B68" s="263" t="s">
        <v>227</v>
      </c>
      <c r="C68" s="262"/>
      <c r="D68" s="264" t="s">
        <v>226</v>
      </c>
      <c r="E68" s="260">
        <f>0</f>
        <v>0</v>
      </c>
      <c r="F68" s="259">
        <f>0</f>
        <v>0</v>
      </c>
      <c r="G68" s="259">
        <f>0</f>
        <v>0</v>
      </c>
      <c r="H68" s="258">
        <f>0</f>
        <v>0</v>
      </c>
      <c r="I68" s="257">
        <f>1102485</f>
        <v>1102485</v>
      </c>
      <c r="J68" s="256">
        <f>1863304</f>
        <v>1863304</v>
      </c>
      <c r="K68" s="256">
        <f>10456</f>
        <v>10456</v>
      </c>
      <c r="L68" s="256">
        <f>0</f>
        <v>0</v>
      </c>
      <c r="M68" s="256">
        <f>0</f>
        <v>0</v>
      </c>
      <c r="N68" s="256">
        <f>0</f>
        <v>0</v>
      </c>
      <c r="O68" s="256">
        <f>0</f>
        <v>0</v>
      </c>
      <c r="P68" s="256">
        <f>0</f>
        <v>0</v>
      </c>
      <c r="Q68" s="256">
        <f>0</f>
        <v>0</v>
      </c>
      <c r="R68" s="256">
        <f>0</f>
        <v>0</v>
      </c>
      <c r="S68" s="256">
        <f>0</f>
        <v>0</v>
      </c>
      <c r="T68" s="256">
        <f>0</f>
        <v>0</v>
      </c>
      <c r="U68" s="256">
        <f>0</f>
        <v>0</v>
      </c>
      <c r="V68" s="256">
        <f>0</f>
        <v>0</v>
      </c>
      <c r="W68" s="256">
        <f>0</f>
        <v>0</v>
      </c>
      <c r="X68" s="256">
        <f>0</f>
        <v>0</v>
      </c>
      <c r="Y68" s="256">
        <f>0</f>
        <v>0</v>
      </c>
      <c r="Z68" s="256">
        <f>0</f>
        <v>0</v>
      </c>
      <c r="AA68" s="256">
        <f>0</f>
        <v>0</v>
      </c>
      <c r="AB68" s="256">
        <f>0</f>
        <v>0</v>
      </c>
      <c r="AC68" s="256">
        <f>0</f>
        <v>0</v>
      </c>
      <c r="AD68" s="256">
        <f>0</f>
        <v>0</v>
      </c>
      <c r="AE68" s="256">
        <f>0</f>
        <v>0</v>
      </c>
      <c r="AF68" s="256">
        <f>0</f>
        <v>0</v>
      </c>
      <c r="AG68" s="256">
        <f>0</f>
        <v>0</v>
      </c>
      <c r="AH68" s="256">
        <f>0</f>
        <v>0</v>
      </c>
      <c r="AI68" s="256">
        <f>0</f>
        <v>0</v>
      </c>
      <c r="AJ68" s="256">
        <f>0</f>
        <v>0</v>
      </c>
      <c r="AK68" s="256">
        <f>0</f>
        <v>0</v>
      </c>
      <c r="AL68" s="255">
        <f>0</f>
        <v>0</v>
      </c>
    </row>
    <row r="69" spans="2:39" ht="15" customHeight="1" outlineLevel="2">
      <c r="B69" s="263" t="s">
        <v>225</v>
      </c>
      <c r="C69" s="262"/>
      <c r="D69" s="264" t="s">
        <v>224</v>
      </c>
      <c r="E69" s="260">
        <f>0</f>
        <v>0</v>
      </c>
      <c r="F69" s="259">
        <f>0</f>
        <v>0</v>
      </c>
      <c r="G69" s="259">
        <f>0</f>
        <v>0</v>
      </c>
      <c r="H69" s="258">
        <f>0</f>
        <v>0</v>
      </c>
      <c r="I69" s="257">
        <f>1945784</f>
        <v>1945784</v>
      </c>
      <c r="J69" s="256">
        <f>1841713</f>
        <v>1841713</v>
      </c>
      <c r="K69" s="256">
        <f>0</f>
        <v>0</v>
      </c>
      <c r="L69" s="256">
        <f>0</f>
        <v>0</v>
      </c>
      <c r="M69" s="256">
        <f>0</f>
        <v>0</v>
      </c>
      <c r="N69" s="256">
        <f>0</f>
        <v>0</v>
      </c>
      <c r="O69" s="256">
        <f>0</f>
        <v>0</v>
      </c>
      <c r="P69" s="256">
        <f>0</f>
        <v>0</v>
      </c>
      <c r="Q69" s="256">
        <f>0</f>
        <v>0</v>
      </c>
      <c r="R69" s="256">
        <f>0</f>
        <v>0</v>
      </c>
      <c r="S69" s="256">
        <f>0</f>
        <v>0</v>
      </c>
      <c r="T69" s="256">
        <f>0</f>
        <v>0</v>
      </c>
      <c r="U69" s="256">
        <f>0</f>
        <v>0</v>
      </c>
      <c r="V69" s="256">
        <f>0</f>
        <v>0</v>
      </c>
      <c r="W69" s="256">
        <f>0</f>
        <v>0</v>
      </c>
      <c r="X69" s="256">
        <f>0</f>
        <v>0</v>
      </c>
      <c r="Y69" s="256">
        <f>0</f>
        <v>0</v>
      </c>
      <c r="Z69" s="256">
        <f>0</f>
        <v>0</v>
      </c>
      <c r="AA69" s="256">
        <f>0</f>
        <v>0</v>
      </c>
      <c r="AB69" s="256">
        <f>0</f>
        <v>0</v>
      </c>
      <c r="AC69" s="256">
        <f>0</f>
        <v>0</v>
      </c>
      <c r="AD69" s="256">
        <f>0</f>
        <v>0</v>
      </c>
      <c r="AE69" s="256">
        <f>0</f>
        <v>0</v>
      </c>
      <c r="AF69" s="256">
        <f>0</f>
        <v>0</v>
      </c>
      <c r="AG69" s="256">
        <f>0</f>
        <v>0</v>
      </c>
      <c r="AH69" s="256">
        <f>0</f>
        <v>0</v>
      </c>
      <c r="AI69" s="256">
        <f>0</f>
        <v>0</v>
      </c>
      <c r="AJ69" s="256">
        <f>0</f>
        <v>0</v>
      </c>
      <c r="AK69" s="256">
        <f>0</f>
        <v>0</v>
      </c>
      <c r="AL69" s="255">
        <f>0</f>
        <v>0</v>
      </c>
    </row>
    <row r="70" spans="2:39" ht="15" customHeight="1" outlineLevel="2">
      <c r="B70" s="263" t="s">
        <v>223</v>
      </c>
      <c r="C70" s="262"/>
      <c r="D70" s="264" t="s">
        <v>222</v>
      </c>
      <c r="E70" s="260">
        <f>0</f>
        <v>0</v>
      </c>
      <c r="F70" s="259">
        <f>0</f>
        <v>0</v>
      </c>
      <c r="G70" s="259">
        <f>0</f>
        <v>0</v>
      </c>
      <c r="H70" s="258">
        <f>0</f>
        <v>0</v>
      </c>
      <c r="I70" s="257">
        <f>65000</f>
        <v>65000</v>
      </c>
      <c r="J70" s="256">
        <f>0</f>
        <v>0</v>
      </c>
      <c r="K70" s="256">
        <f>0</f>
        <v>0</v>
      </c>
      <c r="L70" s="256">
        <f>0</f>
        <v>0</v>
      </c>
      <c r="M70" s="256">
        <f>0</f>
        <v>0</v>
      </c>
      <c r="N70" s="256">
        <f>0</f>
        <v>0</v>
      </c>
      <c r="O70" s="256">
        <f>0</f>
        <v>0</v>
      </c>
      <c r="P70" s="256">
        <f>0</f>
        <v>0</v>
      </c>
      <c r="Q70" s="256">
        <f>0</f>
        <v>0</v>
      </c>
      <c r="R70" s="256">
        <f>0</f>
        <v>0</v>
      </c>
      <c r="S70" s="256">
        <f>0</f>
        <v>0</v>
      </c>
      <c r="T70" s="256">
        <f>0</f>
        <v>0</v>
      </c>
      <c r="U70" s="256">
        <f>0</f>
        <v>0</v>
      </c>
      <c r="V70" s="256">
        <f>0</f>
        <v>0</v>
      </c>
      <c r="W70" s="256">
        <f>0</f>
        <v>0</v>
      </c>
      <c r="X70" s="256">
        <f>0</f>
        <v>0</v>
      </c>
      <c r="Y70" s="256">
        <f>0</f>
        <v>0</v>
      </c>
      <c r="Z70" s="256">
        <f>0</f>
        <v>0</v>
      </c>
      <c r="AA70" s="256">
        <f>0</f>
        <v>0</v>
      </c>
      <c r="AB70" s="256">
        <f>0</f>
        <v>0</v>
      </c>
      <c r="AC70" s="256">
        <f>0</f>
        <v>0</v>
      </c>
      <c r="AD70" s="256">
        <f>0</f>
        <v>0</v>
      </c>
      <c r="AE70" s="256">
        <f>0</f>
        <v>0</v>
      </c>
      <c r="AF70" s="256">
        <f>0</f>
        <v>0</v>
      </c>
      <c r="AG70" s="256">
        <f>0</f>
        <v>0</v>
      </c>
      <c r="AH70" s="256">
        <f>0</f>
        <v>0</v>
      </c>
      <c r="AI70" s="256">
        <f>0</f>
        <v>0</v>
      </c>
      <c r="AJ70" s="256">
        <f>0</f>
        <v>0</v>
      </c>
      <c r="AK70" s="256">
        <f>0</f>
        <v>0</v>
      </c>
      <c r="AL70" s="255">
        <f>0</f>
        <v>0</v>
      </c>
    </row>
    <row r="71" spans="2:39" ht="26.25" customHeight="1" outlineLevel="1">
      <c r="B71" s="273">
        <v>12</v>
      </c>
      <c r="C71" s="272"/>
      <c r="D71" s="271" t="s">
        <v>221</v>
      </c>
      <c r="E71" s="270" t="s">
        <v>39</v>
      </c>
      <c r="F71" s="269" t="s">
        <v>39</v>
      </c>
      <c r="G71" s="269" t="s">
        <v>39</v>
      </c>
      <c r="H71" s="268" t="s">
        <v>39</v>
      </c>
      <c r="I71" s="267" t="s">
        <v>39</v>
      </c>
      <c r="J71" s="266" t="s">
        <v>39</v>
      </c>
      <c r="K71" s="266" t="s">
        <v>39</v>
      </c>
      <c r="L71" s="266" t="s">
        <v>39</v>
      </c>
      <c r="M71" s="266" t="s">
        <v>39</v>
      </c>
      <c r="N71" s="266" t="s">
        <v>39</v>
      </c>
      <c r="O71" s="266" t="s">
        <v>39</v>
      </c>
      <c r="P71" s="266" t="s">
        <v>39</v>
      </c>
      <c r="Q71" s="266" t="s">
        <v>39</v>
      </c>
      <c r="R71" s="266" t="s">
        <v>39</v>
      </c>
      <c r="S71" s="266" t="s">
        <v>39</v>
      </c>
      <c r="T71" s="266" t="s">
        <v>39</v>
      </c>
      <c r="U71" s="266" t="s">
        <v>39</v>
      </c>
      <c r="V71" s="266" t="s">
        <v>39</v>
      </c>
      <c r="W71" s="266" t="s">
        <v>39</v>
      </c>
      <c r="X71" s="266" t="s">
        <v>39</v>
      </c>
      <c r="Y71" s="266" t="s">
        <v>39</v>
      </c>
      <c r="Z71" s="266" t="s">
        <v>39</v>
      </c>
      <c r="AA71" s="266" t="s">
        <v>39</v>
      </c>
      <c r="AB71" s="266" t="s">
        <v>39</v>
      </c>
      <c r="AC71" s="266" t="s">
        <v>39</v>
      </c>
      <c r="AD71" s="266" t="s">
        <v>39</v>
      </c>
      <c r="AE71" s="266" t="s">
        <v>39</v>
      </c>
      <c r="AF71" s="266" t="s">
        <v>39</v>
      </c>
      <c r="AG71" s="266" t="s">
        <v>39</v>
      </c>
      <c r="AH71" s="266" t="s">
        <v>39</v>
      </c>
      <c r="AI71" s="266" t="s">
        <v>39</v>
      </c>
      <c r="AJ71" s="266" t="s">
        <v>39</v>
      </c>
      <c r="AK71" s="266" t="s">
        <v>39</v>
      </c>
      <c r="AL71" s="265" t="s">
        <v>39</v>
      </c>
      <c r="AM71" s="30"/>
    </row>
    <row r="72" spans="2:39" ht="25.5" customHeight="1" outlineLevel="2">
      <c r="B72" s="263" t="s">
        <v>220</v>
      </c>
      <c r="C72" s="262"/>
      <c r="D72" s="264" t="s">
        <v>219</v>
      </c>
      <c r="E72" s="260">
        <f>0</f>
        <v>0</v>
      </c>
      <c r="F72" s="259">
        <f>0</f>
        <v>0</v>
      </c>
      <c r="G72" s="259">
        <f>0</f>
        <v>0</v>
      </c>
      <c r="H72" s="258">
        <f>0</f>
        <v>0</v>
      </c>
      <c r="I72" s="257">
        <f>131365</f>
        <v>131365</v>
      </c>
      <c r="J72" s="256">
        <f>0</f>
        <v>0</v>
      </c>
      <c r="K72" s="256">
        <f>0</f>
        <v>0</v>
      </c>
      <c r="L72" s="256">
        <f>0</f>
        <v>0</v>
      </c>
      <c r="M72" s="256">
        <f>0</f>
        <v>0</v>
      </c>
      <c r="N72" s="256">
        <f>0</f>
        <v>0</v>
      </c>
      <c r="O72" s="256">
        <f>0</f>
        <v>0</v>
      </c>
      <c r="P72" s="256">
        <f>0</f>
        <v>0</v>
      </c>
      <c r="Q72" s="256">
        <f>0</f>
        <v>0</v>
      </c>
      <c r="R72" s="256">
        <f>0</f>
        <v>0</v>
      </c>
      <c r="S72" s="256">
        <f>0</f>
        <v>0</v>
      </c>
      <c r="T72" s="256">
        <f>0</f>
        <v>0</v>
      </c>
      <c r="U72" s="256">
        <f>0</f>
        <v>0</v>
      </c>
      <c r="V72" s="256">
        <f>0</f>
        <v>0</v>
      </c>
      <c r="W72" s="256">
        <f>0</f>
        <v>0</v>
      </c>
      <c r="X72" s="256">
        <f>0</f>
        <v>0</v>
      </c>
      <c r="Y72" s="256">
        <f>0</f>
        <v>0</v>
      </c>
      <c r="Z72" s="256">
        <f>0</f>
        <v>0</v>
      </c>
      <c r="AA72" s="256">
        <f>0</f>
        <v>0</v>
      </c>
      <c r="AB72" s="256">
        <f>0</f>
        <v>0</v>
      </c>
      <c r="AC72" s="256">
        <f>0</f>
        <v>0</v>
      </c>
      <c r="AD72" s="256">
        <f>0</f>
        <v>0</v>
      </c>
      <c r="AE72" s="256">
        <f>0</f>
        <v>0</v>
      </c>
      <c r="AF72" s="256">
        <f>0</f>
        <v>0</v>
      </c>
      <c r="AG72" s="256">
        <f>0</f>
        <v>0</v>
      </c>
      <c r="AH72" s="256">
        <f>0</f>
        <v>0</v>
      </c>
      <c r="AI72" s="256">
        <f>0</f>
        <v>0</v>
      </c>
      <c r="AJ72" s="256">
        <f>0</f>
        <v>0</v>
      </c>
      <c r="AK72" s="256">
        <f>0</f>
        <v>0</v>
      </c>
      <c r="AL72" s="255">
        <f>0</f>
        <v>0</v>
      </c>
    </row>
    <row r="73" spans="2:39" ht="15" customHeight="1" outlineLevel="3">
      <c r="B73" s="263" t="s">
        <v>218</v>
      </c>
      <c r="C73" s="262"/>
      <c r="D73" s="261" t="s">
        <v>213</v>
      </c>
      <c r="E73" s="260">
        <f>0</f>
        <v>0</v>
      </c>
      <c r="F73" s="259">
        <f>0</f>
        <v>0</v>
      </c>
      <c r="G73" s="259">
        <f>0</f>
        <v>0</v>
      </c>
      <c r="H73" s="258">
        <f>0</f>
        <v>0</v>
      </c>
      <c r="I73" s="257">
        <f>115027</f>
        <v>115027</v>
      </c>
      <c r="J73" s="256">
        <f>0</f>
        <v>0</v>
      </c>
      <c r="K73" s="256">
        <f>0</f>
        <v>0</v>
      </c>
      <c r="L73" s="256">
        <f>0</f>
        <v>0</v>
      </c>
      <c r="M73" s="256">
        <f>0</f>
        <v>0</v>
      </c>
      <c r="N73" s="256">
        <f>0</f>
        <v>0</v>
      </c>
      <c r="O73" s="256">
        <f>0</f>
        <v>0</v>
      </c>
      <c r="P73" s="256">
        <f>0</f>
        <v>0</v>
      </c>
      <c r="Q73" s="256">
        <f>0</f>
        <v>0</v>
      </c>
      <c r="R73" s="256">
        <f>0</f>
        <v>0</v>
      </c>
      <c r="S73" s="256">
        <f>0</f>
        <v>0</v>
      </c>
      <c r="T73" s="256">
        <f>0</f>
        <v>0</v>
      </c>
      <c r="U73" s="256">
        <f>0</f>
        <v>0</v>
      </c>
      <c r="V73" s="256">
        <f>0</f>
        <v>0</v>
      </c>
      <c r="W73" s="256">
        <f>0</f>
        <v>0</v>
      </c>
      <c r="X73" s="256">
        <f>0</f>
        <v>0</v>
      </c>
      <c r="Y73" s="256">
        <f>0</f>
        <v>0</v>
      </c>
      <c r="Z73" s="256">
        <f>0</f>
        <v>0</v>
      </c>
      <c r="AA73" s="256">
        <f>0</f>
        <v>0</v>
      </c>
      <c r="AB73" s="256">
        <f>0</f>
        <v>0</v>
      </c>
      <c r="AC73" s="256">
        <f>0</f>
        <v>0</v>
      </c>
      <c r="AD73" s="256">
        <f>0</f>
        <v>0</v>
      </c>
      <c r="AE73" s="256">
        <f>0</f>
        <v>0</v>
      </c>
      <c r="AF73" s="256">
        <f>0</f>
        <v>0</v>
      </c>
      <c r="AG73" s="256">
        <f>0</f>
        <v>0</v>
      </c>
      <c r="AH73" s="256">
        <f>0</f>
        <v>0</v>
      </c>
      <c r="AI73" s="256">
        <f>0</f>
        <v>0</v>
      </c>
      <c r="AJ73" s="256">
        <f>0</f>
        <v>0</v>
      </c>
      <c r="AK73" s="256">
        <f>0</f>
        <v>0</v>
      </c>
      <c r="AL73" s="255">
        <f>0</f>
        <v>0</v>
      </c>
    </row>
    <row r="74" spans="2:39" ht="25.5" customHeight="1" outlineLevel="3">
      <c r="B74" s="263" t="s">
        <v>217</v>
      </c>
      <c r="C74" s="262"/>
      <c r="D74" s="275" t="s">
        <v>211</v>
      </c>
      <c r="E74" s="260">
        <f>0</f>
        <v>0</v>
      </c>
      <c r="F74" s="259">
        <f>0</f>
        <v>0</v>
      </c>
      <c r="G74" s="259">
        <f>0</f>
        <v>0</v>
      </c>
      <c r="H74" s="258">
        <f>0</f>
        <v>0</v>
      </c>
      <c r="I74" s="257">
        <f>94676</f>
        <v>94676</v>
      </c>
      <c r="J74" s="256">
        <f>0</f>
        <v>0</v>
      </c>
      <c r="K74" s="256">
        <f>0</f>
        <v>0</v>
      </c>
      <c r="L74" s="256">
        <f>0</f>
        <v>0</v>
      </c>
      <c r="M74" s="256">
        <f>0</f>
        <v>0</v>
      </c>
      <c r="N74" s="256">
        <f>0</f>
        <v>0</v>
      </c>
      <c r="O74" s="256">
        <f>0</f>
        <v>0</v>
      </c>
      <c r="P74" s="256">
        <f>0</f>
        <v>0</v>
      </c>
      <c r="Q74" s="256">
        <f>0</f>
        <v>0</v>
      </c>
      <c r="R74" s="256">
        <f>0</f>
        <v>0</v>
      </c>
      <c r="S74" s="256">
        <f>0</f>
        <v>0</v>
      </c>
      <c r="T74" s="256">
        <f>0</f>
        <v>0</v>
      </c>
      <c r="U74" s="256">
        <f>0</f>
        <v>0</v>
      </c>
      <c r="V74" s="256">
        <f>0</f>
        <v>0</v>
      </c>
      <c r="W74" s="256">
        <f>0</f>
        <v>0</v>
      </c>
      <c r="X74" s="256">
        <f>0</f>
        <v>0</v>
      </c>
      <c r="Y74" s="256">
        <f>0</f>
        <v>0</v>
      </c>
      <c r="Z74" s="256">
        <f>0</f>
        <v>0</v>
      </c>
      <c r="AA74" s="256">
        <f>0</f>
        <v>0</v>
      </c>
      <c r="AB74" s="256">
        <f>0</f>
        <v>0</v>
      </c>
      <c r="AC74" s="256">
        <f>0</f>
        <v>0</v>
      </c>
      <c r="AD74" s="256">
        <f>0</f>
        <v>0</v>
      </c>
      <c r="AE74" s="256">
        <f>0</f>
        <v>0</v>
      </c>
      <c r="AF74" s="256">
        <f>0</f>
        <v>0</v>
      </c>
      <c r="AG74" s="256">
        <f>0</f>
        <v>0</v>
      </c>
      <c r="AH74" s="256">
        <f>0</f>
        <v>0</v>
      </c>
      <c r="AI74" s="256">
        <f>0</f>
        <v>0</v>
      </c>
      <c r="AJ74" s="256">
        <f>0</f>
        <v>0</v>
      </c>
      <c r="AK74" s="256">
        <f>0</f>
        <v>0</v>
      </c>
      <c r="AL74" s="255">
        <f>0</f>
        <v>0</v>
      </c>
    </row>
    <row r="75" spans="2:39" ht="25.5" customHeight="1" outlineLevel="2">
      <c r="B75" s="263" t="s">
        <v>216</v>
      </c>
      <c r="C75" s="262"/>
      <c r="D75" s="264" t="s">
        <v>215</v>
      </c>
      <c r="E75" s="260">
        <f>0</f>
        <v>0</v>
      </c>
      <c r="F75" s="259">
        <f>0</f>
        <v>0</v>
      </c>
      <c r="G75" s="259">
        <f>0</f>
        <v>0</v>
      </c>
      <c r="H75" s="258">
        <f>0</f>
        <v>0</v>
      </c>
      <c r="I75" s="257">
        <f>1529461</f>
        <v>1529461</v>
      </c>
      <c r="J75" s="256">
        <f>2593344</f>
        <v>2593344</v>
      </c>
      <c r="K75" s="256">
        <f>0</f>
        <v>0</v>
      </c>
      <c r="L75" s="256">
        <f>0</f>
        <v>0</v>
      </c>
      <c r="M75" s="256">
        <f>0</f>
        <v>0</v>
      </c>
      <c r="N75" s="256">
        <f>0</f>
        <v>0</v>
      </c>
      <c r="O75" s="256">
        <f>0</f>
        <v>0</v>
      </c>
      <c r="P75" s="256">
        <f>0</f>
        <v>0</v>
      </c>
      <c r="Q75" s="256">
        <f>0</f>
        <v>0</v>
      </c>
      <c r="R75" s="256">
        <f>0</f>
        <v>0</v>
      </c>
      <c r="S75" s="256">
        <f>0</f>
        <v>0</v>
      </c>
      <c r="T75" s="256">
        <f>0</f>
        <v>0</v>
      </c>
      <c r="U75" s="256">
        <f>0</f>
        <v>0</v>
      </c>
      <c r="V75" s="256">
        <f>0</f>
        <v>0</v>
      </c>
      <c r="W75" s="256">
        <f>0</f>
        <v>0</v>
      </c>
      <c r="X75" s="256">
        <f>0</f>
        <v>0</v>
      </c>
      <c r="Y75" s="256">
        <f>0</f>
        <v>0</v>
      </c>
      <c r="Z75" s="256">
        <f>0</f>
        <v>0</v>
      </c>
      <c r="AA75" s="256">
        <f>0</f>
        <v>0</v>
      </c>
      <c r="AB75" s="256">
        <f>0</f>
        <v>0</v>
      </c>
      <c r="AC75" s="256">
        <f>0</f>
        <v>0</v>
      </c>
      <c r="AD75" s="256">
        <f>0</f>
        <v>0</v>
      </c>
      <c r="AE75" s="256">
        <f>0</f>
        <v>0</v>
      </c>
      <c r="AF75" s="256">
        <f>0</f>
        <v>0</v>
      </c>
      <c r="AG75" s="256">
        <f>0</f>
        <v>0</v>
      </c>
      <c r="AH75" s="256">
        <f>0</f>
        <v>0</v>
      </c>
      <c r="AI75" s="256">
        <f>0</f>
        <v>0</v>
      </c>
      <c r="AJ75" s="256">
        <f>0</f>
        <v>0</v>
      </c>
      <c r="AK75" s="256">
        <f>0</f>
        <v>0</v>
      </c>
      <c r="AL75" s="255">
        <f>0</f>
        <v>0</v>
      </c>
    </row>
    <row r="76" spans="2:39" ht="15" customHeight="1" outlineLevel="3">
      <c r="B76" s="263" t="s">
        <v>214</v>
      </c>
      <c r="C76" s="262"/>
      <c r="D76" s="261" t="s">
        <v>213</v>
      </c>
      <c r="E76" s="260">
        <f>0</f>
        <v>0</v>
      </c>
      <c r="F76" s="259">
        <f>0</f>
        <v>0</v>
      </c>
      <c r="G76" s="259">
        <f>0</f>
        <v>0</v>
      </c>
      <c r="H76" s="258">
        <f>0</f>
        <v>0</v>
      </c>
      <c r="I76" s="257">
        <f>1529461</f>
        <v>1529461</v>
      </c>
      <c r="J76" s="256">
        <f>2593344</f>
        <v>2593344</v>
      </c>
      <c r="K76" s="256">
        <f>0</f>
        <v>0</v>
      </c>
      <c r="L76" s="256">
        <f>0</f>
        <v>0</v>
      </c>
      <c r="M76" s="256">
        <f>0</f>
        <v>0</v>
      </c>
      <c r="N76" s="256">
        <f>0</f>
        <v>0</v>
      </c>
      <c r="O76" s="256">
        <f>0</f>
        <v>0</v>
      </c>
      <c r="P76" s="256">
        <f>0</f>
        <v>0</v>
      </c>
      <c r="Q76" s="256">
        <f>0</f>
        <v>0</v>
      </c>
      <c r="R76" s="256">
        <f>0</f>
        <v>0</v>
      </c>
      <c r="S76" s="256">
        <f>0</f>
        <v>0</v>
      </c>
      <c r="T76" s="256">
        <f>0</f>
        <v>0</v>
      </c>
      <c r="U76" s="256">
        <f>0</f>
        <v>0</v>
      </c>
      <c r="V76" s="256">
        <f>0</f>
        <v>0</v>
      </c>
      <c r="W76" s="256">
        <f>0</f>
        <v>0</v>
      </c>
      <c r="X76" s="256">
        <f>0</f>
        <v>0</v>
      </c>
      <c r="Y76" s="256">
        <f>0</f>
        <v>0</v>
      </c>
      <c r="Z76" s="256">
        <f>0</f>
        <v>0</v>
      </c>
      <c r="AA76" s="256">
        <f>0</f>
        <v>0</v>
      </c>
      <c r="AB76" s="256">
        <f>0</f>
        <v>0</v>
      </c>
      <c r="AC76" s="256">
        <f>0</f>
        <v>0</v>
      </c>
      <c r="AD76" s="256">
        <f>0</f>
        <v>0</v>
      </c>
      <c r="AE76" s="256">
        <f>0</f>
        <v>0</v>
      </c>
      <c r="AF76" s="256">
        <f>0</f>
        <v>0</v>
      </c>
      <c r="AG76" s="256">
        <f>0</f>
        <v>0</v>
      </c>
      <c r="AH76" s="256">
        <f>0</f>
        <v>0</v>
      </c>
      <c r="AI76" s="256">
        <f>0</f>
        <v>0</v>
      </c>
      <c r="AJ76" s="256">
        <f>0</f>
        <v>0</v>
      </c>
      <c r="AK76" s="256">
        <f>0</f>
        <v>0</v>
      </c>
      <c r="AL76" s="255">
        <f>0</f>
        <v>0</v>
      </c>
    </row>
    <row r="77" spans="2:39" ht="25.5" customHeight="1" outlineLevel="3">
      <c r="B77" s="263" t="s">
        <v>212</v>
      </c>
      <c r="C77" s="262"/>
      <c r="D77" s="275" t="s">
        <v>211</v>
      </c>
      <c r="E77" s="260">
        <f>0</f>
        <v>0</v>
      </c>
      <c r="F77" s="259">
        <f>0</f>
        <v>0</v>
      </c>
      <c r="G77" s="259">
        <f>0</f>
        <v>0</v>
      </c>
      <c r="H77" s="258">
        <f>0</f>
        <v>0</v>
      </c>
      <c r="I77" s="257">
        <f>1323727</f>
        <v>1323727</v>
      </c>
      <c r="J77" s="256">
        <f>114413</f>
        <v>114413</v>
      </c>
      <c r="K77" s="256">
        <f>0</f>
        <v>0</v>
      </c>
      <c r="L77" s="256">
        <f>0</f>
        <v>0</v>
      </c>
      <c r="M77" s="256">
        <f>0</f>
        <v>0</v>
      </c>
      <c r="N77" s="256">
        <f>0</f>
        <v>0</v>
      </c>
      <c r="O77" s="256">
        <f>0</f>
        <v>0</v>
      </c>
      <c r="P77" s="256">
        <f>0</f>
        <v>0</v>
      </c>
      <c r="Q77" s="256">
        <f>0</f>
        <v>0</v>
      </c>
      <c r="R77" s="256">
        <f>0</f>
        <v>0</v>
      </c>
      <c r="S77" s="256">
        <f>0</f>
        <v>0</v>
      </c>
      <c r="T77" s="256">
        <f>0</f>
        <v>0</v>
      </c>
      <c r="U77" s="256">
        <f>0</f>
        <v>0</v>
      </c>
      <c r="V77" s="256">
        <f>0</f>
        <v>0</v>
      </c>
      <c r="W77" s="256">
        <f>0</f>
        <v>0</v>
      </c>
      <c r="X77" s="256">
        <f>0</f>
        <v>0</v>
      </c>
      <c r="Y77" s="256">
        <f>0</f>
        <v>0</v>
      </c>
      <c r="Z77" s="256">
        <f>0</f>
        <v>0</v>
      </c>
      <c r="AA77" s="256">
        <f>0</f>
        <v>0</v>
      </c>
      <c r="AB77" s="256">
        <f>0</f>
        <v>0</v>
      </c>
      <c r="AC77" s="256">
        <f>0</f>
        <v>0</v>
      </c>
      <c r="AD77" s="256">
        <f>0</f>
        <v>0</v>
      </c>
      <c r="AE77" s="256">
        <f>0</f>
        <v>0</v>
      </c>
      <c r="AF77" s="256">
        <f>0</f>
        <v>0</v>
      </c>
      <c r="AG77" s="256">
        <f>0</f>
        <v>0</v>
      </c>
      <c r="AH77" s="256">
        <f>0</f>
        <v>0</v>
      </c>
      <c r="AI77" s="256">
        <f>0</f>
        <v>0</v>
      </c>
      <c r="AJ77" s="256">
        <f>0</f>
        <v>0</v>
      </c>
      <c r="AK77" s="256">
        <f>0</f>
        <v>0</v>
      </c>
      <c r="AL77" s="255">
        <f>0</f>
        <v>0</v>
      </c>
    </row>
    <row r="78" spans="2:39" ht="25.5" customHeight="1" outlineLevel="2">
      <c r="B78" s="263" t="s">
        <v>210</v>
      </c>
      <c r="C78" s="262"/>
      <c r="D78" s="264" t="s">
        <v>209</v>
      </c>
      <c r="E78" s="260">
        <f>0</f>
        <v>0</v>
      </c>
      <c r="F78" s="259">
        <f>0</f>
        <v>0</v>
      </c>
      <c r="G78" s="259">
        <f>0</f>
        <v>0</v>
      </c>
      <c r="H78" s="258">
        <f>0</f>
        <v>0</v>
      </c>
      <c r="I78" s="257">
        <f>263008</f>
        <v>263008</v>
      </c>
      <c r="J78" s="256">
        <f>23010</f>
        <v>23010</v>
      </c>
      <c r="K78" s="256">
        <f>0</f>
        <v>0</v>
      </c>
      <c r="L78" s="256">
        <f>0</f>
        <v>0</v>
      </c>
      <c r="M78" s="256">
        <f>0</f>
        <v>0</v>
      </c>
      <c r="N78" s="256">
        <f>0</f>
        <v>0</v>
      </c>
      <c r="O78" s="256">
        <f>0</f>
        <v>0</v>
      </c>
      <c r="P78" s="256">
        <f>0</f>
        <v>0</v>
      </c>
      <c r="Q78" s="256">
        <f>0</f>
        <v>0</v>
      </c>
      <c r="R78" s="256">
        <f>0</f>
        <v>0</v>
      </c>
      <c r="S78" s="256">
        <f>0</f>
        <v>0</v>
      </c>
      <c r="T78" s="256">
        <f>0</f>
        <v>0</v>
      </c>
      <c r="U78" s="256">
        <f>0</f>
        <v>0</v>
      </c>
      <c r="V78" s="256">
        <f>0</f>
        <v>0</v>
      </c>
      <c r="W78" s="256">
        <f>0</f>
        <v>0</v>
      </c>
      <c r="X78" s="256">
        <f>0</f>
        <v>0</v>
      </c>
      <c r="Y78" s="256">
        <f>0</f>
        <v>0</v>
      </c>
      <c r="Z78" s="256">
        <f>0</f>
        <v>0</v>
      </c>
      <c r="AA78" s="256">
        <f>0</f>
        <v>0</v>
      </c>
      <c r="AB78" s="256">
        <f>0</f>
        <v>0</v>
      </c>
      <c r="AC78" s="256">
        <f>0</f>
        <v>0</v>
      </c>
      <c r="AD78" s="256">
        <f>0</f>
        <v>0</v>
      </c>
      <c r="AE78" s="256">
        <f>0</f>
        <v>0</v>
      </c>
      <c r="AF78" s="256">
        <f>0</f>
        <v>0</v>
      </c>
      <c r="AG78" s="256">
        <f>0</f>
        <v>0</v>
      </c>
      <c r="AH78" s="256">
        <f>0</f>
        <v>0</v>
      </c>
      <c r="AI78" s="256">
        <f>0</f>
        <v>0</v>
      </c>
      <c r="AJ78" s="256">
        <f>0</f>
        <v>0</v>
      </c>
      <c r="AK78" s="256">
        <f>0</f>
        <v>0</v>
      </c>
      <c r="AL78" s="255">
        <f>0</f>
        <v>0</v>
      </c>
    </row>
    <row r="79" spans="2:39" ht="15" customHeight="1" outlineLevel="3">
      <c r="B79" s="263" t="s">
        <v>208</v>
      </c>
      <c r="C79" s="262"/>
      <c r="D79" s="261" t="s">
        <v>207</v>
      </c>
      <c r="E79" s="260">
        <f>0</f>
        <v>0</v>
      </c>
      <c r="F79" s="259">
        <f>0</f>
        <v>0</v>
      </c>
      <c r="G79" s="259">
        <f>0</f>
        <v>0</v>
      </c>
      <c r="H79" s="258">
        <f>0</f>
        <v>0</v>
      </c>
      <c r="I79" s="257">
        <f>195896</f>
        <v>195896</v>
      </c>
      <c r="J79" s="256">
        <f>23010</f>
        <v>23010</v>
      </c>
      <c r="K79" s="256">
        <f>0</f>
        <v>0</v>
      </c>
      <c r="L79" s="256">
        <f>0</f>
        <v>0</v>
      </c>
      <c r="M79" s="256">
        <f>0</f>
        <v>0</v>
      </c>
      <c r="N79" s="256">
        <f>0</f>
        <v>0</v>
      </c>
      <c r="O79" s="256">
        <f>0</f>
        <v>0</v>
      </c>
      <c r="P79" s="256">
        <f>0</f>
        <v>0</v>
      </c>
      <c r="Q79" s="256">
        <f>0</f>
        <v>0</v>
      </c>
      <c r="R79" s="256">
        <f>0</f>
        <v>0</v>
      </c>
      <c r="S79" s="256">
        <f>0</f>
        <v>0</v>
      </c>
      <c r="T79" s="256">
        <f>0</f>
        <v>0</v>
      </c>
      <c r="U79" s="256">
        <f>0</f>
        <v>0</v>
      </c>
      <c r="V79" s="256">
        <f>0</f>
        <v>0</v>
      </c>
      <c r="W79" s="256">
        <f>0</f>
        <v>0</v>
      </c>
      <c r="X79" s="256">
        <f>0</f>
        <v>0</v>
      </c>
      <c r="Y79" s="256">
        <f>0</f>
        <v>0</v>
      </c>
      <c r="Z79" s="256">
        <f>0</f>
        <v>0</v>
      </c>
      <c r="AA79" s="256">
        <f>0</f>
        <v>0</v>
      </c>
      <c r="AB79" s="256">
        <f>0</f>
        <v>0</v>
      </c>
      <c r="AC79" s="256">
        <f>0</f>
        <v>0</v>
      </c>
      <c r="AD79" s="256">
        <f>0</f>
        <v>0</v>
      </c>
      <c r="AE79" s="256">
        <f>0</f>
        <v>0</v>
      </c>
      <c r="AF79" s="256">
        <f>0</f>
        <v>0</v>
      </c>
      <c r="AG79" s="256">
        <f>0</f>
        <v>0</v>
      </c>
      <c r="AH79" s="256">
        <f>0</f>
        <v>0</v>
      </c>
      <c r="AI79" s="256">
        <f>0</f>
        <v>0</v>
      </c>
      <c r="AJ79" s="256">
        <f>0</f>
        <v>0</v>
      </c>
      <c r="AK79" s="256">
        <f>0</f>
        <v>0</v>
      </c>
      <c r="AL79" s="255">
        <f>0</f>
        <v>0</v>
      </c>
    </row>
    <row r="80" spans="2:39" ht="25.5" customHeight="1" outlineLevel="3">
      <c r="B80" s="263" t="s">
        <v>206</v>
      </c>
      <c r="C80" s="262"/>
      <c r="D80" s="261" t="s">
        <v>205</v>
      </c>
      <c r="E80" s="260">
        <f>0</f>
        <v>0</v>
      </c>
      <c r="F80" s="259">
        <f>0</f>
        <v>0</v>
      </c>
      <c r="G80" s="259">
        <f>0</f>
        <v>0</v>
      </c>
      <c r="H80" s="258">
        <f>0</f>
        <v>0</v>
      </c>
      <c r="I80" s="257">
        <f>175535.5</f>
        <v>175535.5</v>
      </c>
      <c r="J80" s="256">
        <f>23010</f>
        <v>23010</v>
      </c>
      <c r="K80" s="256">
        <f>0</f>
        <v>0</v>
      </c>
      <c r="L80" s="256">
        <f>0</f>
        <v>0</v>
      </c>
      <c r="M80" s="256">
        <f>0</f>
        <v>0</v>
      </c>
      <c r="N80" s="256">
        <f>0</f>
        <v>0</v>
      </c>
      <c r="O80" s="256">
        <f>0</f>
        <v>0</v>
      </c>
      <c r="P80" s="256">
        <f>0</f>
        <v>0</v>
      </c>
      <c r="Q80" s="256">
        <f>0</f>
        <v>0</v>
      </c>
      <c r="R80" s="256">
        <f>0</f>
        <v>0</v>
      </c>
      <c r="S80" s="256">
        <f>0</f>
        <v>0</v>
      </c>
      <c r="T80" s="256">
        <f>0</f>
        <v>0</v>
      </c>
      <c r="U80" s="256">
        <f>0</f>
        <v>0</v>
      </c>
      <c r="V80" s="256">
        <f>0</f>
        <v>0</v>
      </c>
      <c r="W80" s="256">
        <f>0</f>
        <v>0</v>
      </c>
      <c r="X80" s="256">
        <f>0</f>
        <v>0</v>
      </c>
      <c r="Y80" s="256">
        <f>0</f>
        <v>0</v>
      </c>
      <c r="Z80" s="256">
        <f>0</f>
        <v>0</v>
      </c>
      <c r="AA80" s="256">
        <f>0</f>
        <v>0</v>
      </c>
      <c r="AB80" s="256">
        <f>0</f>
        <v>0</v>
      </c>
      <c r="AC80" s="256">
        <f>0</f>
        <v>0</v>
      </c>
      <c r="AD80" s="256">
        <f>0</f>
        <v>0</v>
      </c>
      <c r="AE80" s="256">
        <f>0</f>
        <v>0</v>
      </c>
      <c r="AF80" s="256">
        <f>0</f>
        <v>0</v>
      </c>
      <c r="AG80" s="256">
        <f>0</f>
        <v>0</v>
      </c>
      <c r="AH80" s="256">
        <f>0</f>
        <v>0</v>
      </c>
      <c r="AI80" s="256">
        <f>0</f>
        <v>0</v>
      </c>
      <c r="AJ80" s="256">
        <f>0</f>
        <v>0</v>
      </c>
      <c r="AK80" s="256">
        <f>0</f>
        <v>0</v>
      </c>
      <c r="AL80" s="255">
        <f>0</f>
        <v>0</v>
      </c>
    </row>
    <row r="81" spans="1:39" ht="25.5" customHeight="1" outlineLevel="2">
      <c r="B81" s="263" t="s">
        <v>204</v>
      </c>
      <c r="C81" s="262"/>
      <c r="D81" s="264" t="s">
        <v>203</v>
      </c>
      <c r="E81" s="260">
        <f>0</f>
        <v>0</v>
      </c>
      <c r="F81" s="259">
        <f>0</f>
        <v>0</v>
      </c>
      <c r="G81" s="259">
        <f>0</f>
        <v>0</v>
      </c>
      <c r="H81" s="258">
        <f>0</f>
        <v>0</v>
      </c>
      <c r="I81" s="257">
        <f>2467120</f>
        <v>2467120</v>
      </c>
      <c r="J81" s="256">
        <f>1852242</f>
        <v>1852242</v>
      </c>
      <c r="K81" s="256">
        <f>0</f>
        <v>0</v>
      </c>
      <c r="L81" s="256">
        <f>0</f>
        <v>0</v>
      </c>
      <c r="M81" s="256">
        <f>0</f>
        <v>0</v>
      </c>
      <c r="N81" s="256">
        <f>0</f>
        <v>0</v>
      </c>
      <c r="O81" s="256">
        <f>0</f>
        <v>0</v>
      </c>
      <c r="P81" s="256">
        <f>0</f>
        <v>0</v>
      </c>
      <c r="Q81" s="256">
        <f>0</f>
        <v>0</v>
      </c>
      <c r="R81" s="256">
        <f>0</f>
        <v>0</v>
      </c>
      <c r="S81" s="256">
        <f>0</f>
        <v>0</v>
      </c>
      <c r="T81" s="256">
        <f>0</f>
        <v>0</v>
      </c>
      <c r="U81" s="256">
        <f>0</f>
        <v>0</v>
      </c>
      <c r="V81" s="256">
        <f>0</f>
        <v>0</v>
      </c>
      <c r="W81" s="256">
        <f>0</f>
        <v>0</v>
      </c>
      <c r="X81" s="256">
        <f>0</f>
        <v>0</v>
      </c>
      <c r="Y81" s="256">
        <f>0</f>
        <v>0</v>
      </c>
      <c r="Z81" s="256">
        <f>0</f>
        <v>0</v>
      </c>
      <c r="AA81" s="256">
        <f>0</f>
        <v>0</v>
      </c>
      <c r="AB81" s="256">
        <f>0</f>
        <v>0</v>
      </c>
      <c r="AC81" s="256">
        <f>0</f>
        <v>0</v>
      </c>
      <c r="AD81" s="256">
        <f>0</f>
        <v>0</v>
      </c>
      <c r="AE81" s="256">
        <f>0</f>
        <v>0</v>
      </c>
      <c r="AF81" s="256">
        <f>0</f>
        <v>0</v>
      </c>
      <c r="AG81" s="256">
        <f>0</f>
        <v>0</v>
      </c>
      <c r="AH81" s="256">
        <f>0</f>
        <v>0</v>
      </c>
      <c r="AI81" s="256">
        <f>0</f>
        <v>0</v>
      </c>
      <c r="AJ81" s="256">
        <f>0</f>
        <v>0</v>
      </c>
      <c r="AK81" s="256">
        <f>0</f>
        <v>0</v>
      </c>
      <c r="AL81" s="255">
        <f>0</f>
        <v>0</v>
      </c>
    </row>
    <row r="82" spans="1:39" ht="15" customHeight="1" outlineLevel="3">
      <c r="B82" s="263" t="s">
        <v>202</v>
      </c>
      <c r="C82" s="262"/>
      <c r="D82" s="261" t="s">
        <v>201</v>
      </c>
      <c r="E82" s="260">
        <f>0</f>
        <v>0</v>
      </c>
      <c r="F82" s="259">
        <f>0</f>
        <v>0</v>
      </c>
      <c r="G82" s="259">
        <f>0</f>
        <v>0</v>
      </c>
      <c r="H82" s="258">
        <f>0</f>
        <v>0</v>
      </c>
      <c r="I82" s="257">
        <f>1722684</f>
        <v>1722684</v>
      </c>
      <c r="J82" s="256">
        <f>1389182</f>
        <v>1389182</v>
      </c>
      <c r="K82" s="256">
        <f>0</f>
        <v>0</v>
      </c>
      <c r="L82" s="256">
        <f>0</f>
        <v>0</v>
      </c>
      <c r="M82" s="256">
        <f>0</f>
        <v>0</v>
      </c>
      <c r="N82" s="256">
        <f>0</f>
        <v>0</v>
      </c>
      <c r="O82" s="256">
        <f>0</f>
        <v>0</v>
      </c>
      <c r="P82" s="256">
        <f>0</f>
        <v>0</v>
      </c>
      <c r="Q82" s="256">
        <f>0</f>
        <v>0</v>
      </c>
      <c r="R82" s="256">
        <f>0</f>
        <v>0</v>
      </c>
      <c r="S82" s="256">
        <f>0</f>
        <v>0</v>
      </c>
      <c r="T82" s="256">
        <f>0</f>
        <v>0</v>
      </c>
      <c r="U82" s="256">
        <f>0</f>
        <v>0</v>
      </c>
      <c r="V82" s="256">
        <f>0</f>
        <v>0</v>
      </c>
      <c r="W82" s="256">
        <f>0</f>
        <v>0</v>
      </c>
      <c r="X82" s="256">
        <f>0</f>
        <v>0</v>
      </c>
      <c r="Y82" s="256">
        <f>0</f>
        <v>0</v>
      </c>
      <c r="Z82" s="256">
        <f>0</f>
        <v>0</v>
      </c>
      <c r="AA82" s="256">
        <f>0</f>
        <v>0</v>
      </c>
      <c r="AB82" s="256">
        <f>0</f>
        <v>0</v>
      </c>
      <c r="AC82" s="256">
        <f>0</f>
        <v>0</v>
      </c>
      <c r="AD82" s="256">
        <f>0</f>
        <v>0</v>
      </c>
      <c r="AE82" s="256">
        <f>0</f>
        <v>0</v>
      </c>
      <c r="AF82" s="256">
        <f>0</f>
        <v>0</v>
      </c>
      <c r="AG82" s="256">
        <f>0</f>
        <v>0</v>
      </c>
      <c r="AH82" s="256">
        <f>0</f>
        <v>0</v>
      </c>
      <c r="AI82" s="256">
        <f>0</f>
        <v>0</v>
      </c>
      <c r="AJ82" s="256">
        <f>0</f>
        <v>0</v>
      </c>
      <c r="AK82" s="256">
        <f>0</f>
        <v>0</v>
      </c>
      <c r="AL82" s="255">
        <f>0</f>
        <v>0</v>
      </c>
    </row>
    <row r="83" spans="1:39" ht="25.5" customHeight="1" outlineLevel="3">
      <c r="B83" s="263" t="s">
        <v>200</v>
      </c>
      <c r="C83" s="262"/>
      <c r="D83" s="261" t="s">
        <v>199</v>
      </c>
      <c r="E83" s="260">
        <f>0</f>
        <v>0</v>
      </c>
      <c r="F83" s="259">
        <f>0</f>
        <v>0</v>
      </c>
      <c r="G83" s="259">
        <f>0</f>
        <v>0</v>
      </c>
      <c r="H83" s="258">
        <f>0</f>
        <v>0</v>
      </c>
      <c r="I83" s="257">
        <f>508688.52</f>
        <v>508688.52</v>
      </c>
      <c r="J83" s="256">
        <f>0</f>
        <v>0</v>
      </c>
      <c r="K83" s="256">
        <f>0</f>
        <v>0</v>
      </c>
      <c r="L83" s="256">
        <f>0</f>
        <v>0</v>
      </c>
      <c r="M83" s="256">
        <f>0</f>
        <v>0</v>
      </c>
      <c r="N83" s="256">
        <f>0</f>
        <v>0</v>
      </c>
      <c r="O83" s="256">
        <f>0</f>
        <v>0</v>
      </c>
      <c r="P83" s="256">
        <f>0</f>
        <v>0</v>
      </c>
      <c r="Q83" s="256">
        <f>0</f>
        <v>0</v>
      </c>
      <c r="R83" s="256">
        <f>0</f>
        <v>0</v>
      </c>
      <c r="S83" s="256">
        <f>0</f>
        <v>0</v>
      </c>
      <c r="T83" s="256">
        <f>0</f>
        <v>0</v>
      </c>
      <c r="U83" s="256">
        <f>0</f>
        <v>0</v>
      </c>
      <c r="V83" s="256">
        <f>0</f>
        <v>0</v>
      </c>
      <c r="W83" s="256">
        <f>0</f>
        <v>0</v>
      </c>
      <c r="X83" s="256">
        <f>0</f>
        <v>0</v>
      </c>
      <c r="Y83" s="256">
        <f>0</f>
        <v>0</v>
      </c>
      <c r="Z83" s="256">
        <f>0</f>
        <v>0</v>
      </c>
      <c r="AA83" s="256">
        <f>0</f>
        <v>0</v>
      </c>
      <c r="AB83" s="256">
        <f>0</f>
        <v>0</v>
      </c>
      <c r="AC83" s="256">
        <f>0</f>
        <v>0</v>
      </c>
      <c r="AD83" s="256">
        <f>0</f>
        <v>0</v>
      </c>
      <c r="AE83" s="256">
        <f>0</f>
        <v>0</v>
      </c>
      <c r="AF83" s="256">
        <f>0</f>
        <v>0</v>
      </c>
      <c r="AG83" s="256">
        <f>0</f>
        <v>0</v>
      </c>
      <c r="AH83" s="256">
        <f>0</f>
        <v>0</v>
      </c>
      <c r="AI83" s="256">
        <f>0</f>
        <v>0</v>
      </c>
      <c r="AJ83" s="256">
        <f>0</f>
        <v>0</v>
      </c>
      <c r="AK83" s="256">
        <f>0</f>
        <v>0</v>
      </c>
      <c r="AL83" s="255">
        <f>0</f>
        <v>0</v>
      </c>
    </row>
    <row r="84" spans="1:39" ht="25.5" customHeight="1" outlineLevel="1">
      <c r="B84" s="273">
        <v>13</v>
      </c>
      <c r="C84" s="272"/>
      <c r="D84" s="274" t="s">
        <v>198</v>
      </c>
      <c r="E84" s="270" t="s">
        <v>39</v>
      </c>
      <c r="F84" s="269" t="s">
        <v>39</v>
      </c>
      <c r="G84" s="269" t="s">
        <v>39</v>
      </c>
      <c r="H84" s="268" t="s">
        <v>39</v>
      </c>
      <c r="I84" s="267" t="s">
        <v>39</v>
      </c>
      <c r="J84" s="266" t="s">
        <v>39</v>
      </c>
      <c r="K84" s="266" t="s">
        <v>39</v>
      </c>
      <c r="L84" s="266" t="s">
        <v>39</v>
      </c>
      <c r="M84" s="266" t="s">
        <v>39</v>
      </c>
      <c r="N84" s="266" t="s">
        <v>39</v>
      </c>
      <c r="O84" s="266" t="s">
        <v>39</v>
      </c>
      <c r="P84" s="266" t="s">
        <v>39</v>
      </c>
      <c r="Q84" s="266" t="s">
        <v>39</v>
      </c>
      <c r="R84" s="266" t="s">
        <v>39</v>
      </c>
      <c r="S84" s="266" t="s">
        <v>39</v>
      </c>
      <c r="T84" s="266" t="s">
        <v>39</v>
      </c>
      <c r="U84" s="266" t="s">
        <v>39</v>
      </c>
      <c r="V84" s="266" t="s">
        <v>39</v>
      </c>
      <c r="W84" s="266" t="s">
        <v>39</v>
      </c>
      <c r="X84" s="266" t="s">
        <v>39</v>
      </c>
      <c r="Y84" s="266" t="s">
        <v>39</v>
      </c>
      <c r="Z84" s="266" t="s">
        <v>39</v>
      </c>
      <c r="AA84" s="266" t="s">
        <v>39</v>
      </c>
      <c r="AB84" s="266" t="s">
        <v>39</v>
      </c>
      <c r="AC84" s="266" t="s">
        <v>39</v>
      </c>
      <c r="AD84" s="266" t="s">
        <v>39</v>
      </c>
      <c r="AE84" s="266" t="s">
        <v>39</v>
      </c>
      <c r="AF84" s="266" t="s">
        <v>39</v>
      </c>
      <c r="AG84" s="266" t="s">
        <v>39</v>
      </c>
      <c r="AH84" s="266" t="s">
        <v>39</v>
      </c>
      <c r="AI84" s="266" t="s">
        <v>39</v>
      </c>
      <c r="AJ84" s="266" t="s">
        <v>39</v>
      </c>
      <c r="AK84" s="266" t="s">
        <v>39</v>
      </c>
      <c r="AL84" s="265" t="s">
        <v>39</v>
      </c>
      <c r="AM84" s="30"/>
    </row>
    <row r="85" spans="1:39" ht="25.5" customHeight="1" outlineLevel="2">
      <c r="B85" s="263" t="s">
        <v>197</v>
      </c>
      <c r="C85" s="262"/>
      <c r="D85" s="264" t="s">
        <v>196</v>
      </c>
      <c r="E85" s="260">
        <f>0</f>
        <v>0</v>
      </c>
      <c r="F85" s="259">
        <f>0</f>
        <v>0</v>
      </c>
      <c r="G85" s="259">
        <f>0</f>
        <v>0</v>
      </c>
      <c r="H85" s="258">
        <f>0</f>
        <v>0</v>
      </c>
      <c r="I85" s="257">
        <f>0</f>
        <v>0</v>
      </c>
      <c r="J85" s="256">
        <f>0</f>
        <v>0</v>
      </c>
      <c r="K85" s="256">
        <f>0</f>
        <v>0</v>
      </c>
      <c r="L85" s="256">
        <f>0</f>
        <v>0</v>
      </c>
      <c r="M85" s="256">
        <f>0</f>
        <v>0</v>
      </c>
      <c r="N85" s="256">
        <f>0</f>
        <v>0</v>
      </c>
      <c r="O85" s="256">
        <f>0</f>
        <v>0</v>
      </c>
      <c r="P85" s="256">
        <f>0</f>
        <v>0</v>
      </c>
      <c r="Q85" s="256">
        <f>0</f>
        <v>0</v>
      </c>
      <c r="R85" s="256">
        <f>0</f>
        <v>0</v>
      </c>
      <c r="S85" s="256">
        <f>0</f>
        <v>0</v>
      </c>
      <c r="T85" s="256">
        <f>0</f>
        <v>0</v>
      </c>
      <c r="U85" s="256">
        <f>0</f>
        <v>0</v>
      </c>
      <c r="V85" s="256">
        <f>0</f>
        <v>0</v>
      </c>
      <c r="W85" s="256">
        <f>0</f>
        <v>0</v>
      </c>
      <c r="X85" s="256">
        <f>0</f>
        <v>0</v>
      </c>
      <c r="Y85" s="256">
        <f>0</f>
        <v>0</v>
      </c>
      <c r="Z85" s="256">
        <f>0</f>
        <v>0</v>
      </c>
      <c r="AA85" s="256">
        <f>0</f>
        <v>0</v>
      </c>
      <c r="AB85" s="256">
        <f>0</f>
        <v>0</v>
      </c>
      <c r="AC85" s="256">
        <f>0</f>
        <v>0</v>
      </c>
      <c r="AD85" s="256">
        <f>0</f>
        <v>0</v>
      </c>
      <c r="AE85" s="256">
        <f>0</f>
        <v>0</v>
      </c>
      <c r="AF85" s="256">
        <f>0</f>
        <v>0</v>
      </c>
      <c r="AG85" s="256">
        <f>0</f>
        <v>0</v>
      </c>
      <c r="AH85" s="256">
        <f>0</f>
        <v>0</v>
      </c>
      <c r="AI85" s="256">
        <f>0</f>
        <v>0</v>
      </c>
      <c r="AJ85" s="256">
        <f>0</f>
        <v>0</v>
      </c>
      <c r="AK85" s="256">
        <f>0</f>
        <v>0</v>
      </c>
      <c r="AL85" s="255">
        <f>0</f>
        <v>0</v>
      </c>
    </row>
    <row r="86" spans="1:39" ht="25.5" customHeight="1" outlineLevel="2">
      <c r="B86" s="263" t="s">
        <v>195</v>
      </c>
      <c r="C86" s="262"/>
      <c r="D86" s="264" t="s">
        <v>194</v>
      </c>
      <c r="E86" s="260">
        <f>0</f>
        <v>0</v>
      </c>
      <c r="F86" s="259">
        <f>0</f>
        <v>0</v>
      </c>
      <c r="G86" s="259">
        <f>0</f>
        <v>0</v>
      </c>
      <c r="H86" s="258">
        <f>0</f>
        <v>0</v>
      </c>
      <c r="I86" s="257">
        <f>0</f>
        <v>0</v>
      </c>
      <c r="J86" s="256">
        <f>0</f>
        <v>0</v>
      </c>
      <c r="K86" s="256">
        <f>0</f>
        <v>0</v>
      </c>
      <c r="L86" s="256">
        <f>0</f>
        <v>0</v>
      </c>
      <c r="M86" s="256">
        <f>0</f>
        <v>0</v>
      </c>
      <c r="N86" s="256">
        <f>0</f>
        <v>0</v>
      </c>
      <c r="O86" s="256">
        <f>0</f>
        <v>0</v>
      </c>
      <c r="P86" s="256">
        <f>0</f>
        <v>0</v>
      </c>
      <c r="Q86" s="256">
        <f>0</f>
        <v>0</v>
      </c>
      <c r="R86" s="256">
        <f>0</f>
        <v>0</v>
      </c>
      <c r="S86" s="256">
        <f>0</f>
        <v>0</v>
      </c>
      <c r="T86" s="256">
        <f>0</f>
        <v>0</v>
      </c>
      <c r="U86" s="256">
        <f>0</f>
        <v>0</v>
      </c>
      <c r="V86" s="256">
        <f>0</f>
        <v>0</v>
      </c>
      <c r="W86" s="256">
        <f>0</f>
        <v>0</v>
      </c>
      <c r="X86" s="256">
        <f>0</f>
        <v>0</v>
      </c>
      <c r="Y86" s="256">
        <f>0</f>
        <v>0</v>
      </c>
      <c r="Z86" s="256">
        <f>0</f>
        <v>0</v>
      </c>
      <c r="AA86" s="256">
        <f>0</f>
        <v>0</v>
      </c>
      <c r="AB86" s="256">
        <f>0</f>
        <v>0</v>
      </c>
      <c r="AC86" s="256">
        <f>0</f>
        <v>0</v>
      </c>
      <c r="AD86" s="256">
        <f>0</f>
        <v>0</v>
      </c>
      <c r="AE86" s="256">
        <f>0</f>
        <v>0</v>
      </c>
      <c r="AF86" s="256">
        <f>0</f>
        <v>0</v>
      </c>
      <c r="AG86" s="256">
        <f>0</f>
        <v>0</v>
      </c>
      <c r="AH86" s="256">
        <f>0</f>
        <v>0</v>
      </c>
      <c r="AI86" s="256">
        <f>0</f>
        <v>0</v>
      </c>
      <c r="AJ86" s="256">
        <f>0</f>
        <v>0</v>
      </c>
      <c r="AK86" s="256">
        <f>0</f>
        <v>0</v>
      </c>
      <c r="AL86" s="255">
        <f>0</f>
        <v>0</v>
      </c>
    </row>
    <row r="87" spans="1:39" ht="25.5" customHeight="1" outlineLevel="2">
      <c r="B87" s="263" t="s">
        <v>193</v>
      </c>
      <c r="C87" s="262"/>
      <c r="D87" s="264" t="s">
        <v>192</v>
      </c>
      <c r="E87" s="260">
        <f>0</f>
        <v>0</v>
      </c>
      <c r="F87" s="259">
        <f>0</f>
        <v>0</v>
      </c>
      <c r="G87" s="259">
        <f>0</f>
        <v>0</v>
      </c>
      <c r="H87" s="258">
        <f>0</f>
        <v>0</v>
      </c>
      <c r="I87" s="257">
        <f>0</f>
        <v>0</v>
      </c>
      <c r="J87" s="256">
        <f>0</f>
        <v>0</v>
      </c>
      <c r="K87" s="256">
        <f>0</f>
        <v>0</v>
      </c>
      <c r="L87" s="256">
        <f>0</f>
        <v>0</v>
      </c>
      <c r="M87" s="256">
        <f>0</f>
        <v>0</v>
      </c>
      <c r="N87" s="256">
        <f>0</f>
        <v>0</v>
      </c>
      <c r="O87" s="256">
        <f>0</f>
        <v>0</v>
      </c>
      <c r="P87" s="256">
        <f>0</f>
        <v>0</v>
      </c>
      <c r="Q87" s="256">
        <f>0</f>
        <v>0</v>
      </c>
      <c r="R87" s="256">
        <f>0</f>
        <v>0</v>
      </c>
      <c r="S87" s="256">
        <f>0</f>
        <v>0</v>
      </c>
      <c r="T87" s="256">
        <f>0</f>
        <v>0</v>
      </c>
      <c r="U87" s="256">
        <f>0</f>
        <v>0</v>
      </c>
      <c r="V87" s="256">
        <f>0</f>
        <v>0</v>
      </c>
      <c r="W87" s="256">
        <f>0</f>
        <v>0</v>
      </c>
      <c r="X87" s="256">
        <f>0</f>
        <v>0</v>
      </c>
      <c r="Y87" s="256">
        <f>0</f>
        <v>0</v>
      </c>
      <c r="Z87" s="256">
        <f>0</f>
        <v>0</v>
      </c>
      <c r="AA87" s="256">
        <f>0</f>
        <v>0</v>
      </c>
      <c r="AB87" s="256">
        <f>0</f>
        <v>0</v>
      </c>
      <c r="AC87" s="256">
        <f>0</f>
        <v>0</v>
      </c>
      <c r="AD87" s="256">
        <f>0</f>
        <v>0</v>
      </c>
      <c r="AE87" s="256">
        <f>0</f>
        <v>0</v>
      </c>
      <c r="AF87" s="256">
        <f>0</f>
        <v>0</v>
      </c>
      <c r="AG87" s="256">
        <f>0</f>
        <v>0</v>
      </c>
      <c r="AH87" s="256">
        <f>0</f>
        <v>0</v>
      </c>
      <c r="AI87" s="256">
        <f>0</f>
        <v>0</v>
      </c>
      <c r="AJ87" s="256">
        <f>0</f>
        <v>0</v>
      </c>
      <c r="AK87" s="256">
        <f>0</f>
        <v>0</v>
      </c>
      <c r="AL87" s="255">
        <f>0</f>
        <v>0</v>
      </c>
    </row>
    <row r="88" spans="1:39" ht="25.5" customHeight="1" outlineLevel="2">
      <c r="B88" s="263" t="s">
        <v>191</v>
      </c>
      <c r="C88" s="262"/>
      <c r="D88" s="264" t="s">
        <v>190</v>
      </c>
      <c r="E88" s="260">
        <f>0</f>
        <v>0</v>
      </c>
      <c r="F88" s="259">
        <f>0</f>
        <v>0</v>
      </c>
      <c r="G88" s="259">
        <f>0</f>
        <v>0</v>
      </c>
      <c r="H88" s="258">
        <f>0</f>
        <v>0</v>
      </c>
      <c r="I88" s="257">
        <f>0</f>
        <v>0</v>
      </c>
      <c r="J88" s="256">
        <f>0</f>
        <v>0</v>
      </c>
      <c r="K88" s="256">
        <f>0</f>
        <v>0</v>
      </c>
      <c r="L88" s="256">
        <f>0</f>
        <v>0</v>
      </c>
      <c r="M88" s="256">
        <f>0</f>
        <v>0</v>
      </c>
      <c r="N88" s="256">
        <f>0</f>
        <v>0</v>
      </c>
      <c r="O88" s="256">
        <f>0</f>
        <v>0</v>
      </c>
      <c r="P88" s="256">
        <f>0</f>
        <v>0</v>
      </c>
      <c r="Q88" s="256">
        <f>0</f>
        <v>0</v>
      </c>
      <c r="R88" s="256">
        <f>0</f>
        <v>0</v>
      </c>
      <c r="S88" s="256">
        <f>0</f>
        <v>0</v>
      </c>
      <c r="T88" s="256">
        <f>0</f>
        <v>0</v>
      </c>
      <c r="U88" s="256">
        <f>0</f>
        <v>0</v>
      </c>
      <c r="V88" s="256">
        <f>0</f>
        <v>0</v>
      </c>
      <c r="W88" s="256">
        <f>0</f>
        <v>0</v>
      </c>
      <c r="X88" s="256">
        <f>0</f>
        <v>0</v>
      </c>
      <c r="Y88" s="256">
        <f>0</f>
        <v>0</v>
      </c>
      <c r="Z88" s="256">
        <f>0</f>
        <v>0</v>
      </c>
      <c r="AA88" s="256">
        <f>0</f>
        <v>0</v>
      </c>
      <c r="AB88" s="256">
        <f>0</f>
        <v>0</v>
      </c>
      <c r="AC88" s="256">
        <f>0</f>
        <v>0</v>
      </c>
      <c r="AD88" s="256">
        <f>0</f>
        <v>0</v>
      </c>
      <c r="AE88" s="256">
        <f>0</f>
        <v>0</v>
      </c>
      <c r="AF88" s="256">
        <f>0</f>
        <v>0</v>
      </c>
      <c r="AG88" s="256">
        <f>0</f>
        <v>0</v>
      </c>
      <c r="AH88" s="256">
        <f>0</f>
        <v>0</v>
      </c>
      <c r="AI88" s="256">
        <f>0</f>
        <v>0</v>
      </c>
      <c r="AJ88" s="256">
        <f>0</f>
        <v>0</v>
      </c>
      <c r="AK88" s="256">
        <f>0</f>
        <v>0</v>
      </c>
      <c r="AL88" s="255">
        <f>0</f>
        <v>0</v>
      </c>
    </row>
    <row r="89" spans="1:39" ht="25.5" customHeight="1" outlineLevel="2">
      <c r="B89" s="263" t="s">
        <v>189</v>
      </c>
      <c r="C89" s="262"/>
      <c r="D89" s="264" t="s">
        <v>188</v>
      </c>
      <c r="E89" s="260">
        <f>0</f>
        <v>0</v>
      </c>
      <c r="F89" s="259">
        <f>0</f>
        <v>0</v>
      </c>
      <c r="G89" s="259">
        <f>0</f>
        <v>0</v>
      </c>
      <c r="H89" s="258">
        <f>0</f>
        <v>0</v>
      </c>
      <c r="I89" s="257">
        <f>0</f>
        <v>0</v>
      </c>
      <c r="J89" s="256">
        <f>0</f>
        <v>0</v>
      </c>
      <c r="K89" s="256">
        <f>0</f>
        <v>0</v>
      </c>
      <c r="L89" s="256">
        <f>0</f>
        <v>0</v>
      </c>
      <c r="M89" s="256">
        <f>0</f>
        <v>0</v>
      </c>
      <c r="N89" s="256">
        <f>0</f>
        <v>0</v>
      </c>
      <c r="O89" s="256">
        <f>0</f>
        <v>0</v>
      </c>
      <c r="P89" s="256">
        <f>0</f>
        <v>0</v>
      </c>
      <c r="Q89" s="256">
        <f>0</f>
        <v>0</v>
      </c>
      <c r="R89" s="256">
        <f>0</f>
        <v>0</v>
      </c>
      <c r="S89" s="256">
        <f>0</f>
        <v>0</v>
      </c>
      <c r="T89" s="256">
        <f>0</f>
        <v>0</v>
      </c>
      <c r="U89" s="256">
        <f>0</f>
        <v>0</v>
      </c>
      <c r="V89" s="256">
        <f>0</f>
        <v>0</v>
      </c>
      <c r="W89" s="256">
        <f>0</f>
        <v>0</v>
      </c>
      <c r="X89" s="256">
        <f>0</f>
        <v>0</v>
      </c>
      <c r="Y89" s="256">
        <f>0</f>
        <v>0</v>
      </c>
      <c r="Z89" s="256">
        <f>0</f>
        <v>0</v>
      </c>
      <c r="AA89" s="256">
        <f>0</f>
        <v>0</v>
      </c>
      <c r="AB89" s="256">
        <f>0</f>
        <v>0</v>
      </c>
      <c r="AC89" s="256">
        <f>0</f>
        <v>0</v>
      </c>
      <c r="AD89" s="256">
        <f>0</f>
        <v>0</v>
      </c>
      <c r="AE89" s="256">
        <f>0</f>
        <v>0</v>
      </c>
      <c r="AF89" s="256">
        <f>0</f>
        <v>0</v>
      </c>
      <c r="AG89" s="256">
        <f>0</f>
        <v>0</v>
      </c>
      <c r="AH89" s="256">
        <f>0</f>
        <v>0</v>
      </c>
      <c r="AI89" s="256">
        <f>0</f>
        <v>0</v>
      </c>
      <c r="AJ89" s="256">
        <f>0</f>
        <v>0</v>
      </c>
      <c r="AK89" s="256">
        <f>0</f>
        <v>0</v>
      </c>
      <c r="AL89" s="255">
        <f>0</f>
        <v>0</v>
      </c>
    </row>
    <row r="90" spans="1:39" ht="25.5" customHeight="1" outlineLevel="2">
      <c r="B90" s="263" t="s">
        <v>187</v>
      </c>
      <c r="C90" s="262"/>
      <c r="D90" s="264" t="s">
        <v>186</v>
      </c>
      <c r="E90" s="260">
        <f>0</f>
        <v>0</v>
      </c>
      <c r="F90" s="259">
        <f>0</f>
        <v>0</v>
      </c>
      <c r="G90" s="259">
        <f>0</f>
        <v>0</v>
      </c>
      <c r="H90" s="258">
        <f>0</f>
        <v>0</v>
      </c>
      <c r="I90" s="257">
        <f>0</f>
        <v>0</v>
      </c>
      <c r="J90" s="256">
        <f>0</f>
        <v>0</v>
      </c>
      <c r="K90" s="256">
        <f>0</f>
        <v>0</v>
      </c>
      <c r="L90" s="256">
        <f>0</f>
        <v>0</v>
      </c>
      <c r="M90" s="256">
        <f>0</f>
        <v>0</v>
      </c>
      <c r="N90" s="256">
        <f>0</f>
        <v>0</v>
      </c>
      <c r="O90" s="256">
        <f>0</f>
        <v>0</v>
      </c>
      <c r="P90" s="256">
        <f>0</f>
        <v>0</v>
      </c>
      <c r="Q90" s="256">
        <f>0</f>
        <v>0</v>
      </c>
      <c r="R90" s="256">
        <f>0</f>
        <v>0</v>
      </c>
      <c r="S90" s="256">
        <f>0</f>
        <v>0</v>
      </c>
      <c r="T90" s="256">
        <f>0</f>
        <v>0</v>
      </c>
      <c r="U90" s="256">
        <f>0</f>
        <v>0</v>
      </c>
      <c r="V90" s="256">
        <f>0</f>
        <v>0</v>
      </c>
      <c r="W90" s="256">
        <f>0</f>
        <v>0</v>
      </c>
      <c r="X90" s="256">
        <f>0</f>
        <v>0</v>
      </c>
      <c r="Y90" s="256">
        <f>0</f>
        <v>0</v>
      </c>
      <c r="Z90" s="256">
        <f>0</f>
        <v>0</v>
      </c>
      <c r="AA90" s="256">
        <f>0</f>
        <v>0</v>
      </c>
      <c r="AB90" s="256">
        <f>0</f>
        <v>0</v>
      </c>
      <c r="AC90" s="256">
        <f>0</f>
        <v>0</v>
      </c>
      <c r="AD90" s="256">
        <f>0</f>
        <v>0</v>
      </c>
      <c r="AE90" s="256">
        <f>0</f>
        <v>0</v>
      </c>
      <c r="AF90" s="256">
        <f>0</f>
        <v>0</v>
      </c>
      <c r="AG90" s="256">
        <f>0</f>
        <v>0</v>
      </c>
      <c r="AH90" s="256">
        <f>0</f>
        <v>0</v>
      </c>
      <c r="AI90" s="256">
        <f>0</f>
        <v>0</v>
      </c>
      <c r="AJ90" s="256">
        <f>0</f>
        <v>0</v>
      </c>
      <c r="AK90" s="256">
        <f>0</f>
        <v>0</v>
      </c>
      <c r="AL90" s="255">
        <f>0</f>
        <v>0</v>
      </c>
    </row>
    <row r="91" spans="1:39" ht="25.5" customHeight="1" outlineLevel="2">
      <c r="B91" s="263" t="s">
        <v>185</v>
      </c>
      <c r="C91" s="262"/>
      <c r="D91" s="264" t="s">
        <v>184</v>
      </c>
      <c r="E91" s="260">
        <f>0</f>
        <v>0</v>
      </c>
      <c r="F91" s="259">
        <f>0</f>
        <v>0</v>
      </c>
      <c r="G91" s="259">
        <f>0</f>
        <v>0</v>
      </c>
      <c r="H91" s="258">
        <f>0</f>
        <v>0</v>
      </c>
      <c r="I91" s="257">
        <f>0</f>
        <v>0</v>
      </c>
      <c r="J91" s="256">
        <f>0</f>
        <v>0</v>
      </c>
      <c r="K91" s="256">
        <f>0</f>
        <v>0</v>
      </c>
      <c r="L91" s="256">
        <f>0</f>
        <v>0</v>
      </c>
      <c r="M91" s="256">
        <f>0</f>
        <v>0</v>
      </c>
      <c r="N91" s="256">
        <f>0</f>
        <v>0</v>
      </c>
      <c r="O91" s="256">
        <f>0</f>
        <v>0</v>
      </c>
      <c r="P91" s="256">
        <f>0</f>
        <v>0</v>
      </c>
      <c r="Q91" s="256">
        <f>0</f>
        <v>0</v>
      </c>
      <c r="R91" s="256">
        <f>0</f>
        <v>0</v>
      </c>
      <c r="S91" s="256">
        <f>0</f>
        <v>0</v>
      </c>
      <c r="T91" s="256">
        <f>0</f>
        <v>0</v>
      </c>
      <c r="U91" s="256">
        <f>0</f>
        <v>0</v>
      </c>
      <c r="V91" s="256">
        <f>0</f>
        <v>0</v>
      </c>
      <c r="W91" s="256">
        <f>0</f>
        <v>0</v>
      </c>
      <c r="X91" s="256">
        <f>0</f>
        <v>0</v>
      </c>
      <c r="Y91" s="256">
        <f>0</f>
        <v>0</v>
      </c>
      <c r="Z91" s="256">
        <f>0</f>
        <v>0</v>
      </c>
      <c r="AA91" s="256">
        <f>0</f>
        <v>0</v>
      </c>
      <c r="AB91" s="256">
        <f>0</f>
        <v>0</v>
      </c>
      <c r="AC91" s="256">
        <f>0</f>
        <v>0</v>
      </c>
      <c r="AD91" s="256">
        <f>0</f>
        <v>0</v>
      </c>
      <c r="AE91" s="256">
        <f>0</f>
        <v>0</v>
      </c>
      <c r="AF91" s="256">
        <f>0</f>
        <v>0</v>
      </c>
      <c r="AG91" s="256">
        <f>0</f>
        <v>0</v>
      </c>
      <c r="AH91" s="256">
        <f>0</f>
        <v>0</v>
      </c>
      <c r="AI91" s="256">
        <f>0</f>
        <v>0</v>
      </c>
      <c r="AJ91" s="256">
        <f>0</f>
        <v>0</v>
      </c>
      <c r="AK91" s="256">
        <f>0</f>
        <v>0</v>
      </c>
      <c r="AL91" s="255">
        <f>0</f>
        <v>0</v>
      </c>
    </row>
    <row r="92" spans="1:39" ht="15" customHeight="1" outlineLevel="1">
      <c r="A92" s="311" t="s">
        <v>39</v>
      </c>
      <c r="B92" s="273">
        <v>14</v>
      </c>
      <c r="C92" s="272"/>
      <c r="D92" s="271" t="s">
        <v>183</v>
      </c>
      <c r="E92" s="270" t="s">
        <v>39</v>
      </c>
      <c r="F92" s="269" t="s">
        <v>39</v>
      </c>
      <c r="G92" s="269" t="s">
        <v>39</v>
      </c>
      <c r="H92" s="268" t="s">
        <v>39</v>
      </c>
      <c r="I92" s="267" t="s">
        <v>39</v>
      </c>
      <c r="J92" s="266" t="s">
        <v>39</v>
      </c>
      <c r="K92" s="266" t="s">
        <v>39</v>
      </c>
      <c r="L92" s="266" t="s">
        <v>39</v>
      </c>
      <c r="M92" s="266" t="s">
        <v>39</v>
      </c>
      <c r="N92" s="266" t="s">
        <v>39</v>
      </c>
      <c r="O92" s="266" t="s">
        <v>39</v>
      </c>
      <c r="P92" s="266" t="s">
        <v>39</v>
      </c>
      <c r="Q92" s="266" t="s">
        <v>39</v>
      </c>
      <c r="R92" s="266" t="s">
        <v>39</v>
      </c>
      <c r="S92" s="266" t="s">
        <v>39</v>
      </c>
      <c r="T92" s="266" t="s">
        <v>39</v>
      </c>
      <c r="U92" s="266" t="s">
        <v>39</v>
      </c>
      <c r="V92" s="266" t="s">
        <v>39</v>
      </c>
      <c r="W92" s="266" t="s">
        <v>39</v>
      </c>
      <c r="X92" s="266" t="s">
        <v>39</v>
      </c>
      <c r="Y92" s="266" t="s">
        <v>39</v>
      </c>
      <c r="Z92" s="266" t="s">
        <v>39</v>
      </c>
      <c r="AA92" s="266" t="s">
        <v>39</v>
      </c>
      <c r="AB92" s="266" t="s">
        <v>39</v>
      </c>
      <c r="AC92" s="266" t="s">
        <v>39</v>
      </c>
      <c r="AD92" s="266" t="s">
        <v>39</v>
      </c>
      <c r="AE92" s="266" t="s">
        <v>39</v>
      </c>
      <c r="AF92" s="266" t="s">
        <v>39</v>
      </c>
      <c r="AG92" s="266" t="s">
        <v>39</v>
      </c>
      <c r="AH92" s="266" t="s">
        <v>39</v>
      </c>
      <c r="AI92" s="266" t="s">
        <v>39</v>
      </c>
      <c r="AJ92" s="266" t="s">
        <v>39</v>
      </c>
      <c r="AK92" s="266" t="s">
        <v>39</v>
      </c>
      <c r="AL92" s="265" t="s">
        <v>39</v>
      </c>
      <c r="AM92" s="30"/>
    </row>
    <row r="93" spans="1:39" ht="25.5" customHeight="1" outlineLevel="2">
      <c r="A93" s="311" t="s">
        <v>39</v>
      </c>
      <c r="B93" s="263" t="s">
        <v>182</v>
      </c>
      <c r="C93" s="262"/>
      <c r="D93" s="264" t="s">
        <v>181</v>
      </c>
      <c r="E93" s="260">
        <f>0</f>
        <v>0</v>
      </c>
      <c r="F93" s="259">
        <f>0</f>
        <v>0</v>
      </c>
      <c r="G93" s="259">
        <f>0</f>
        <v>0</v>
      </c>
      <c r="H93" s="258">
        <f>0</f>
        <v>0</v>
      </c>
      <c r="I93" s="257">
        <f>2105000</f>
        <v>2105000</v>
      </c>
      <c r="J93" s="256">
        <f>500000</f>
        <v>500000</v>
      </c>
      <c r="K93" s="256">
        <f>100000</f>
        <v>100000</v>
      </c>
      <c r="L93" s="256">
        <f>400000</f>
        <v>400000</v>
      </c>
      <c r="M93" s="256">
        <f>600000</f>
        <v>600000</v>
      </c>
      <c r="N93" s="256">
        <f>600000</f>
        <v>600000</v>
      </c>
      <c r="O93" s="256">
        <f>1200000</f>
        <v>1200000</v>
      </c>
      <c r="P93" s="256">
        <f>1300000</f>
        <v>1300000</v>
      </c>
      <c r="Q93" s="256">
        <f>1200000</f>
        <v>1200000</v>
      </c>
      <c r="R93" s="256">
        <f>1330000</f>
        <v>1330000</v>
      </c>
      <c r="S93" s="256">
        <f>1510000</f>
        <v>1510000</v>
      </c>
      <c r="T93" s="256">
        <f>1548000</f>
        <v>1548000</v>
      </c>
      <c r="U93" s="256">
        <f>0</f>
        <v>0</v>
      </c>
      <c r="V93" s="256">
        <f>0</f>
        <v>0</v>
      </c>
      <c r="W93" s="256">
        <f>0</f>
        <v>0</v>
      </c>
      <c r="X93" s="256">
        <f>0</f>
        <v>0</v>
      </c>
      <c r="Y93" s="256">
        <f>0</f>
        <v>0</v>
      </c>
      <c r="Z93" s="256">
        <f>0</f>
        <v>0</v>
      </c>
      <c r="AA93" s="256">
        <f>0</f>
        <v>0</v>
      </c>
      <c r="AB93" s="256">
        <f>0</f>
        <v>0</v>
      </c>
      <c r="AC93" s="256">
        <f>0</f>
        <v>0</v>
      </c>
      <c r="AD93" s="256">
        <f>0</f>
        <v>0</v>
      </c>
      <c r="AE93" s="256">
        <f>0</f>
        <v>0</v>
      </c>
      <c r="AF93" s="256">
        <f>0</f>
        <v>0</v>
      </c>
      <c r="AG93" s="256">
        <f>0</f>
        <v>0</v>
      </c>
      <c r="AH93" s="256">
        <f>0</f>
        <v>0</v>
      </c>
      <c r="AI93" s="256">
        <f>0</f>
        <v>0</v>
      </c>
      <c r="AJ93" s="256">
        <f>0</f>
        <v>0</v>
      </c>
      <c r="AK93" s="256">
        <f>0</f>
        <v>0</v>
      </c>
      <c r="AL93" s="255">
        <f>0</f>
        <v>0</v>
      </c>
    </row>
    <row r="94" spans="1:39" ht="15" customHeight="1" outlineLevel="2">
      <c r="A94" s="311" t="s">
        <v>39</v>
      </c>
      <c r="B94" s="263" t="s">
        <v>180</v>
      </c>
      <c r="C94" s="262"/>
      <c r="D94" s="264" t="s">
        <v>179</v>
      </c>
      <c r="E94" s="260">
        <f>0</f>
        <v>0</v>
      </c>
      <c r="F94" s="259">
        <f>0</f>
        <v>0</v>
      </c>
      <c r="G94" s="259">
        <f>29550</f>
        <v>29550</v>
      </c>
      <c r="H94" s="258">
        <f>49550</f>
        <v>49550</v>
      </c>
      <c r="I94" s="257">
        <f>19700</f>
        <v>19700</v>
      </c>
      <c r="J94" s="256">
        <f>9850</f>
        <v>9850</v>
      </c>
      <c r="K94" s="256">
        <f>0</f>
        <v>0</v>
      </c>
      <c r="L94" s="256">
        <f>0</f>
        <v>0</v>
      </c>
      <c r="M94" s="256">
        <f>0</f>
        <v>0</v>
      </c>
      <c r="N94" s="256">
        <f>0</f>
        <v>0</v>
      </c>
      <c r="O94" s="256">
        <f>0</f>
        <v>0</v>
      </c>
      <c r="P94" s="256">
        <f>0</f>
        <v>0</v>
      </c>
      <c r="Q94" s="256">
        <f>0</f>
        <v>0</v>
      </c>
      <c r="R94" s="256">
        <f>0</f>
        <v>0</v>
      </c>
      <c r="S94" s="256">
        <f>0</f>
        <v>0</v>
      </c>
      <c r="T94" s="256">
        <f>0</f>
        <v>0</v>
      </c>
      <c r="U94" s="256">
        <f>0</f>
        <v>0</v>
      </c>
      <c r="V94" s="256">
        <f>0</f>
        <v>0</v>
      </c>
      <c r="W94" s="256">
        <f>0</f>
        <v>0</v>
      </c>
      <c r="X94" s="256">
        <f>0</f>
        <v>0</v>
      </c>
      <c r="Y94" s="256">
        <f>0</f>
        <v>0</v>
      </c>
      <c r="Z94" s="256">
        <f>0</f>
        <v>0</v>
      </c>
      <c r="AA94" s="256">
        <f>0</f>
        <v>0</v>
      </c>
      <c r="AB94" s="256">
        <f>0</f>
        <v>0</v>
      </c>
      <c r="AC94" s="256">
        <f>0</f>
        <v>0</v>
      </c>
      <c r="AD94" s="256">
        <f>0</f>
        <v>0</v>
      </c>
      <c r="AE94" s="256">
        <f>0</f>
        <v>0</v>
      </c>
      <c r="AF94" s="256">
        <f>0</f>
        <v>0</v>
      </c>
      <c r="AG94" s="256">
        <f>0</f>
        <v>0</v>
      </c>
      <c r="AH94" s="256">
        <f>0</f>
        <v>0</v>
      </c>
      <c r="AI94" s="256">
        <f>0</f>
        <v>0</v>
      </c>
      <c r="AJ94" s="256">
        <f>0</f>
        <v>0</v>
      </c>
      <c r="AK94" s="256">
        <f>0</f>
        <v>0</v>
      </c>
      <c r="AL94" s="255">
        <f>0</f>
        <v>0</v>
      </c>
    </row>
    <row r="95" spans="1:39" ht="15" customHeight="1" outlineLevel="2">
      <c r="A95" s="311" t="s">
        <v>39</v>
      </c>
      <c r="B95" s="263" t="s">
        <v>178</v>
      </c>
      <c r="C95" s="262"/>
      <c r="D95" s="264" t="s">
        <v>177</v>
      </c>
      <c r="E95" s="260">
        <f>0</f>
        <v>0</v>
      </c>
      <c r="F95" s="259">
        <f>0</f>
        <v>0</v>
      </c>
      <c r="G95" s="259">
        <f>9850</f>
        <v>9850</v>
      </c>
      <c r="H95" s="258">
        <f>29850</f>
        <v>29850</v>
      </c>
      <c r="I95" s="257">
        <f>29850</f>
        <v>29850</v>
      </c>
      <c r="J95" s="256">
        <f>9850</f>
        <v>9850</v>
      </c>
      <c r="K95" s="256">
        <f>9850</f>
        <v>9850</v>
      </c>
      <c r="L95" s="256">
        <f>0</f>
        <v>0</v>
      </c>
      <c r="M95" s="256">
        <f>0</f>
        <v>0</v>
      </c>
      <c r="N95" s="256">
        <f>0</f>
        <v>0</v>
      </c>
      <c r="O95" s="256">
        <f>0</f>
        <v>0</v>
      </c>
      <c r="P95" s="256">
        <f>0</f>
        <v>0</v>
      </c>
      <c r="Q95" s="256">
        <f>0</f>
        <v>0</v>
      </c>
      <c r="R95" s="256">
        <f>0</f>
        <v>0</v>
      </c>
      <c r="S95" s="256">
        <f>0</f>
        <v>0</v>
      </c>
      <c r="T95" s="256">
        <f>0</f>
        <v>0</v>
      </c>
      <c r="U95" s="256">
        <f>0</f>
        <v>0</v>
      </c>
      <c r="V95" s="256">
        <f>0</f>
        <v>0</v>
      </c>
      <c r="W95" s="256">
        <f>0</f>
        <v>0</v>
      </c>
      <c r="X95" s="256">
        <f>0</f>
        <v>0</v>
      </c>
      <c r="Y95" s="256">
        <f>0</f>
        <v>0</v>
      </c>
      <c r="Z95" s="256">
        <f>0</f>
        <v>0</v>
      </c>
      <c r="AA95" s="256">
        <f>0</f>
        <v>0</v>
      </c>
      <c r="AB95" s="256">
        <f>0</f>
        <v>0</v>
      </c>
      <c r="AC95" s="256">
        <f>0</f>
        <v>0</v>
      </c>
      <c r="AD95" s="256">
        <f>0</f>
        <v>0</v>
      </c>
      <c r="AE95" s="256">
        <f>0</f>
        <v>0</v>
      </c>
      <c r="AF95" s="256">
        <f>0</f>
        <v>0</v>
      </c>
      <c r="AG95" s="256">
        <f>0</f>
        <v>0</v>
      </c>
      <c r="AH95" s="256">
        <f>0</f>
        <v>0</v>
      </c>
      <c r="AI95" s="256">
        <f>0</f>
        <v>0</v>
      </c>
      <c r="AJ95" s="256">
        <f>0</f>
        <v>0</v>
      </c>
      <c r="AK95" s="256">
        <f>0</f>
        <v>0</v>
      </c>
      <c r="AL95" s="255">
        <f>0</f>
        <v>0</v>
      </c>
    </row>
    <row r="96" spans="1:39" ht="15" customHeight="1" outlineLevel="3">
      <c r="A96" s="311" t="s">
        <v>39</v>
      </c>
      <c r="B96" s="263" t="s">
        <v>176</v>
      </c>
      <c r="C96" s="262"/>
      <c r="D96" s="261" t="s">
        <v>175</v>
      </c>
      <c r="E96" s="260">
        <f>0</f>
        <v>0</v>
      </c>
      <c r="F96" s="259">
        <f>0</f>
        <v>0</v>
      </c>
      <c r="G96" s="259">
        <f>0</f>
        <v>0</v>
      </c>
      <c r="H96" s="258">
        <f>0</f>
        <v>0</v>
      </c>
      <c r="I96" s="257">
        <f>20000</f>
        <v>20000</v>
      </c>
      <c r="J96" s="256">
        <f>0</f>
        <v>0</v>
      </c>
      <c r="K96" s="256">
        <f>0</f>
        <v>0</v>
      </c>
      <c r="L96" s="256">
        <f>0</f>
        <v>0</v>
      </c>
      <c r="M96" s="256">
        <f>0</f>
        <v>0</v>
      </c>
      <c r="N96" s="256">
        <f>0</f>
        <v>0</v>
      </c>
      <c r="O96" s="256">
        <f>0</f>
        <v>0</v>
      </c>
      <c r="P96" s="256">
        <f>0</f>
        <v>0</v>
      </c>
      <c r="Q96" s="256">
        <f>0</f>
        <v>0</v>
      </c>
      <c r="R96" s="256">
        <f>0</f>
        <v>0</v>
      </c>
      <c r="S96" s="256">
        <f>0</f>
        <v>0</v>
      </c>
      <c r="T96" s="256">
        <f>0</f>
        <v>0</v>
      </c>
      <c r="U96" s="256">
        <f>0</f>
        <v>0</v>
      </c>
      <c r="V96" s="256">
        <f>0</f>
        <v>0</v>
      </c>
      <c r="W96" s="256">
        <f>0</f>
        <v>0</v>
      </c>
      <c r="X96" s="256">
        <f>0</f>
        <v>0</v>
      </c>
      <c r="Y96" s="256">
        <f>0</f>
        <v>0</v>
      </c>
      <c r="Z96" s="256">
        <f>0</f>
        <v>0</v>
      </c>
      <c r="AA96" s="256">
        <f>0</f>
        <v>0</v>
      </c>
      <c r="AB96" s="256">
        <f>0</f>
        <v>0</v>
      </c>
      <c r="AC96" s="256">
        <f>0</f>
        <v>0</v>
      </c>
      <c r="AD96" s="256">
        <f>0</f>
        <v>0</v>
      </c>
      <c r="AE96" s="256">
        <f>0</f>
        <v>0</v>
      </c>
      <c r="AF96" s="256">
        <f>0</f>
        <v>0</v>
      </c>
      <c r="AG96" s="256">
        <f>0</f>
        <v>0</v>
      </c>
      <c r="AH96" s="256">
        <f>0</f>
        <v>0</v>
      </c>
      <c r="AI96" s="256">
        <f>0</f>
        <v>0</v>
      </c>
      <c r="AJ96" s="256">
        <f>0</f>
        <v>0</v>
      </c>
      <c r="AK96" s="256">
        <f>0</f>
        <v>0</v>
      </c>
      <c r="AL96" s="255">
        <f>0</f>
        <v>0</v>
      </c>
    </row>
    <row r="97" spans="1:39" ht="15" customHeight="1" outlineLevel="3">
      <c r="A97" s="311" t="s">
        <v>39</v>
      </c>
      <c r="B97" s="263" t="s">
        <v>174</v>
      </c>
      <c r="C97" s="262"/>
      <c r="D97" s="261" t="s">
        <v>173</v>
      </c>
      <c r="E97" s="260">
        <f>0</f>
        <v>0</v>
      </c>
      <c r="F97" s="259">
        <f>0</f>
        <v>0</v>
      </c>
      <c r="G97" s="259">
        <f>9850</f>
        <v>9850</v>
      </c>
      <c r="H97" s="258">
        <f>9850</f>
        <v>9850</v>
      </c>
      <c r="I97" s="257">
        <f>9850</f>
        <v>9850</v>
      </c>
      <c r="J97" s="256">
        <f>9850</f>
        <v>9850</v>
      </c>
      <c r="K97" s="256">
        <f>9850</f>
        <v>9850</v>
      </c>
      <c r="L97" s="256">
        <f>0</f>
        <v>0</v>
      </c>
      <c r="M97" s="256">
        <f>0</f>
        <v>0</v>
      </c>
      <c r="N97" s="256">
        <f>0</f>
        <v>0</v>
      </c>
      <c r="O97" s="256">
        <f>0</f>
        <v>0</v>
      </c>
      <c r="P97" s="256">
        <f>0</f>
        <v>0</v>
      </c>
      <c r="Q97" s="256">
        <f>0</f>
        <v>0</v>
      </c>
      <c r="R97" s="256">
        <f>0</f>
        <v>0</v>
      </c>
      <c r="S97" s="256">
        <f>0</f>
        <v>0</v>
      </c>
      <c r="T97" s="256">
        <f>0</f>
        <v>0</v>
      </c>
      <c r="U97" s="256">
        <f>0</f>
        <v>0</v>
      </c>
      <c r="V97" s="256">
        <f>0</f>
        <v>0</v>
      </c>
      <c r="W97" s="256">
        <f>0</f>
        <v>0</v>
      </c>
      <c r="X97" s="256">
        <f>0</f>
        <v>0</v>
      </c>
      <c r="Y97" s="256">
        <f>0</f>
        <v>0</v>
      </c>
      <c r="Z97" s="256">
        <f>0</f>
        <v>0</v>
      </c>
      <c r="AA97" s="256">
        <f>0</f>
        <v>0</v>
      </c>
      <c r="AB97" s="256">
        <f>0</f>
        <v>0</v>
      </c>
      <c r="AC97" s="256">
        <f>0</f>
        <v>0</v>
      </c>
      <c r="AD97" s="256">
        <f>0</f>
        <v>0</v>
      </c>
      <c r="AE97" s="256">
        <f>0</f>
        <v>0</v>
      </c>
      <c r="AF97" s="256">
        <f>0</f>
        <v>0</v>
      </c>
      <c r="AG97" s="256">
        <f>0</f>
        <v>0</v>
      </c>
      <c r="AH97" s="256">
        <f>0</f>
        <v>0</v>
      </c>
      <c r="AI97" s="256">
        <f>0</f>
        <v>0</v>
      </c>
      <c r="AJ97" s="256">
        <f>0</f>
        <v>0</v>
      </c>
      <c r="AK97" s="256">
        <f>0</f>
        <v>0</v>
      </c>
      <c r="AL97" s="255">
        <f>0</f>
        <v>0</v>
      </c>
    </row>
    <row r="98" spans="1:39" ht="15" customHeight="1" outlineLevel="3">
      <c r="A98" s="311" t="s">
        <v>39</v>
      </c>
      <c r="B98" s="263" t="s">
        <v>172</v>
      </c>
      <c r="C98" s="262"/>
      <c r="D98" s="261" t="s">
        <v>171</v>
      </c>
      <c r="E98" s="260">
        <f>0</f>
        <v>0</v>
      </c>
      <c r="F98" s="259">
        <f>0</f>
        <v>0</v>
      </c>
      <c r="G98" s="259">
        <f>0</f>
        <v>0</v>
      </c>
      <c r="H98" s="258">
        <f>0</f>
        <v>0</v>
      </c>
      <c r="I98" s="257">
        <f>0</f>
        <v>0</v>
      </c>
      <c r="J98" s="256">
        <f>0</f>
        <v>0</v>
      </c>
      <c r="K98" s="256">
        <f>0</f>
        <v>0</v>
      </c>
      <c r="L98" s="256">
        <f>0</f>
        <v>0</v>
      </c>
      <c r="M98" s="256">
        <f>0</f>
        <v>0</v>
      </c>
      <c r="N98" s="256">
        <f>0</f>
        <v>0</v>
      </c>
      <c r="O98" s="256">
        <f>0</f>
        <v>0</v>
      </c>
      <c r="P98" s="256">
        <f>0</f>
        <v>0</v>
      </c>
      <c r="Q98" s="256">
        <f>0</f>
        <v>0</v>
      </c>
      <c r="R98" s="256">
        <f>0</f>
        <v>0</v>
      </c>
      <c r="S98" s="256">
        <f>0</f>
        <v>0</v>
      </c>
      <c r="T98" s="256">
        <f>0</f>
        <v>0</v>
      </c>
      <c r="U98" s="256">
        <f>0</f>
        <v>0</v>
      </c>
      <c r="V98" s="256">
        <f>0</f>
        <v>0</v>
      </c>
      <c r="W98" s="256">
        <f>0</f>
        <v>0</v>
      </c>
      <c r="X98" s="256">
        <f>0</f>
        <v>0</v>
      </c>
      <c r="Y98" s="256">
        <f>0</f>
        <v>0</v>
      </c>
      <c r="Z98" s="256">
        <f>0</f>
        <v>0</v>
      </c>
      <c r="AA98" s="256">
        <f>0</f>
        <v>0</v>
      </c>
      <c r="AB98" s="256">
        <f>0</f>
        <v>0</v>
      </c>
      <c r="AC98" s="256">
        <f>0</f>
        <v>0</v>
      </c>
      <c r="AD98" s="256">
        <f>0</f>
        <v>0</v>
      </c>
      <c r="AE98" s="256">
        <f>0</f>
        <v>0</v>
      </c>
      <c r="AF98" s="256">
        <f>0</f>
        <v>0</v>
      </c>
      <c r="AG98" s="256">
        <f>0</f>
        <v>0</v>
      </c>
      <c r="AH98" s="256">
        <f>0</f>
        <v>0</v>
      </c>
      <c r="AI98" s="256">
        <f>0</f>
        <v>0</v>
      </c>
      <c r="AJ98" s="256">
        <f>0</f>
        <v>0</v>
      </c>
      <c r="AK98" s="256">
        <f>0</f>
        <v>0</v>
      </c>
      <c r="AL98" s="255">
        <f>0</f>
        <v>0</v>
      </c>
    </row>
    <row r="99" spans="1:39" ht="15" customHeight="1" outlineLevel="2">
      <c r="A99" s="311" t="s">
        <v>39</v>
      </c>
      <c r="B99" s="254" t="s">
        <v>170</v>
      </c>
      <c r="C99" s="253"/>
      <c r="D99" s="252" t="s">
        <v>169</v>
      </c>
      <c r="E99" s="251">
        <f>0</f>
        <v>0</v>
      </c>
      <c r="F99" s="250">
        <f>0</f>
        <v>0</v>
      </c>
      <c r="G99" s="250">
        <f>0</f>
        <v>0</v>
      </c>
      <c r="H99" s="249">
        <f>0</f>
        <v>0</v>
      </c>
      <c r="I99" s="248">
        <f>6750.55</f>
        <v>6750.55</v>
      </c>
      <c r="J99" s="247">
        <f>0</f>
        <v>0</v>
      </c>
      <c r="K99" s="247">
        <f>0</f>
        <v>0</v>
      </c>
      <c r="L99" s="247">
        <f>0</f>
        <v>0</v>
      </c>
      <c r="M99" s="247">
        <f>0</f>
        <v>0</v>
      </c>
      <c r="N99" s="247">
        <f>0</f>
        <v>0</v>
      </c>
      <c r="O99" s="247">
        <f>0</f>
        <v>0</v>
      </c>
      <c r="P99" s="247">
        <f>0</f>
        <v>0</v>
      </c>
      <c r="Q99" s="247">
        <f>0</f>
        <v>0</v>
      </c>
      <c r="R99" s="247">
        <f>0</f>
        <v>0</v>
      </c>
      <c r="S99" s="247">
        <f>0</f>
        <v>0</v>
      </c>
      <c r="T99" s="247">
        <f>0</f>
        <v>0</v>
      </c>
      <c r="U99" s="247">
        <f>0</f>
        <v>0</v>
      </c>
      <c r="V99" s="247">
        <f>0</f>
        <v>0</v>
      </c>
      <c r="W99" s="247">
        <f>0</f>
        <v>0</v>
      </c>
      <c r="X99" s="247">
        <f>0</f>
        <v>0</v>
      </c>
      <c r="Y99" s="247">
        <f>0</f>
        <v>0</v>
      </c>
      <c r="Z99" s="247">
        <f>0</f>
        <v>0</v>
      </c>
      <c r="AA99" s="247">
        <f>0</f>
        <v>0</v>
      </c>
      <c r="AB99" s="247">
        <f>0</f>
        <v>0</v>
      </c>
      <c r="AC99" s="247">
        <f>0</f>
        <v>0</v>
      </c>
      <c r="AD99" s="247">
        <f>0</f>
        <v>0</v>
      </c>
      <c r="AE99" s="247">
        <f>0</f>
        <v>0</v>
      </c>
      <c r="AF99" s="247">
        <f>0</f>
        <v>0</v>
      </c>
      <c r="AG99" s="247">
        <f>0</f>
        <v>0</v>
      </c>
      <c r="AH99" s="247">
        <f>0</f>
        <v>0</v>
      </c>
      <c r="AI99" s="247">
        <f>0</f>
        <v>0</v>
      </c>
      <c r="AJ99" s="247">
        <f>0</f>
        <v>0</v>
      </c>
      <c r="AK99" s="247">
        <f>0</f>
        <v>0</v>
      </c>
      <c r="AL99" s="246">
        <f>0</f>
        <v>0</v>
      </c>
    </row>
    <row r="100" spans="1:39" hidden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2"/>
    </row>
    <row r="101" spans="1:39" ht="15" hidden="1">
      <c r="B101" s="245" t="s">
        <v>168</v>
      </c>
      <c r="C101" s="245"/>
      <c r="D101" s="233"/>
      <c r="E101" s="244"/>
      <c r="F101" s="244"/>
      <c r="G101" s="244"/>
      <c r="H101" s="244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2"/>
    </row>
    <row r="102" spans="1:39" ht="15" hidden="1">
      <c r="B102" s="243" t="s">
        <v>167</v>
      </c>
      <c r="C102" s="243"/>
      <c r="D102" s="233"/>
      <c r="E102" s="234"/>
      <c r="F102" s="234"/>
      <c r="G102" s="234"/>
      <c r="H102" s="234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2"/>
    </row>
    <row r="103" spans="1:39" hidden="1">
      <c r="B103" s="242"/>
      <c r="C103" s="242"/>
      <c r="D103" s="233"/>
      <c r="E103" s="234"/>
      <c r="F103" s="234"/>
      <c r="G103" s="234"/>
      <c r="H103" s="234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2"/>
    </row>
    <row r="104" spans="1:39" hidden="1">
      <c r="B104" s="242"/>
      <c r="C104" s="242"/>
      <c r="D104" s="233"/>
      <c r="E104" s="234"/>
      <c r="F104" s="234"/>
      <c r="G104" s="234"/>
      <c r="H104" s="234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2"/>
    </row>
    <row r="105" spans="1:39" ht="15" hidden="1">
      <c r="B105" s="241" t="s">
        <v>166</v>
      </c>
      <c r="C105" s="241"/>
      <c r="D105" s="241"/>
      <c r="E105" s="240"/>
      <c r="F105" s="240"/>
      <c r="G105" s="240"/>
      <c r="H105" s="234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2"/>
    </row>
    <row r="106" spans="1:39" hidden="1" outlineLevel="1">
      <c r="B106" s="237"/>
      <c r="C106" s="237"/>
      <c r="D106" s="239" t="s">
        <v>165</v>
      </c>
      <c r="E106" s="234"/>
      <c r="F106" s="234"/>
      <c r="G106" s="234"/>
      <c r="H106" s="234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2"/>
    </row>
    <row r="107" spans="1:39" hidden="1" outlineLevel="1">
      <c r="B107" s="237"/>
      <c r="C107" s="237"/>
      <c r="D107" s="238" t="s">
        <v>164</v>
      </c>
      <c r="E107" s="234"/>
      <c r="F107" s="234"/>
      <c r="G107" s="234"/>
      <c r="H107" s="234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2"/>
    </row>
    <row r="108" spans="1:39" hidden="1" outlineLevel="1">
      <c r="B108" s="237"/>
      <c r="C108" s="237"/>
      <c r="D108" s="236" t="s">
        <v>163</v>
      </c>
      <c r="E108" s="234"/>
      <c r="F108" s="234"/>
      <c r="G108" s="234"/>
      <c r="H108" s="234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2"/>
    </row>
    <row r="109" spans="1:39" hidden="1" outlineLevel="1">
      <c r="B109" s="235"/>
      <c r="C109" s="235"/>
      <c r="D109" s="192" t="s">
        <v>162</v>
      </c>
      <c r="E109" s="234"/>
      <c r="F109" s="234"/>
      <c r="G109" s="234"/>
      <c r="H109" s="234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2"/>
    </row>
    <row r="110" spans="1:39" hidden="1" outlineLevel="2">
      <c r="B110" s="231" t="s">
        <v>161</v>
      </c>
      <c r="C110" s="230"/>
      <c r="D110" s="229" t="s">
        <v>160</v>
      </c>
      <c r="E110" s="228" t="s">
        <v>39</v>
      </c>
      <c r="F110" s="227" t="s">
        <v>39</v>
      </c>
      <c r="G110" s="227" t="s">
        <v>39</v>
      </c>
      <c r="H110" s="226" t="s">
        <v>39</v>
      </c>
      <c r="I110" s="225" t="str">
        <f>IF(ROUND(I6+I26+I28,2)&gt;=ROUND(I17-I20,2),"TAK","NIE")</f>
        <v>TAK</v>
      </c>
      <c r="J110" s="224" t="str">
        <f t="shared" ref="J110:AL110" si="4">IF(ROUND(J6+J26+J28,2)&gt;=ROUND(J17-J20,2),"TAK","NIE")</f>
        <v>TAK</v>
      </c>
      <c r="K110" s="224" t="str">
        <f t="shared" si="4"/>
        <v>TAK</v>
      </c>
      <c r="L110" s="224" t="str">
        <f t="shared" si="4"/>
        <v>TAK</v>
      </c>
      <c r="M110" s="224" t="str">
        <f t="shared" si="4"/>
        <v>TAK</v>
      </c>
      <c r="N110" s="224" t="str">
        <f t="shared" si="4"/>
        <v>TAK</v>
      </c>
      <c r="O110" s="224" t="str">
        <f t="shared" si="4"/>
        <v>TAK</v>
      </c>
      <c r="P110" s="224" t="str">
        <f t="shared" si="4"/>
        <v>TAK</v>
      </c>
      <c r="Q110" s="224" t="str">
        <f t="shared" si="4"/>
        <v>TAK</v>
      </c>
      <c r="R110" s="224" t="str">
        <f t="shared" si="4"/>
        <v>TAK</v>
      </c>
      <c r="S110" s="224" t="str">
        <f t="shared" si="4"/>
        <v>TAK</v>
      </c>
      <c r="T110" s="224" t="str">
        <f t="shared" si="4"/>
        <v>TAK</v>
      </c>
      <c r="U110" s="224" t="str">
        <f t="shared" si="4"/>
        <v>TAK</v>
      </c>
      <c r="V110" s="224" t="str">
        <f t="shared" si="4"/>
        <v>TAK</v>
      </c>
      <c r="W110" s="224" t="str">
        <f t="shared" si="4"/>
        <v>TAK</v>
      </c>
      <c r="X110" s="224" t="str">
        <f t="shared" si="4"/>
        <v>TAK</v>
      </c>
      <c r="Y110" s="224" t="str">
        <f t="shared" si="4"/>
        <v>TAK</v>
      </c>
      <c r="Z110" s="224" t="str">
        <f t="shared" si="4"/>
        <v>TAK</v>
      </c>
      <c r="AA110" s="224" t="str">
        <f t="shared" si="4"/>
        <v>TAK</v>
      </c>
      <c r="AB110" s="224" t="str">
        <f t="shared" si="4"/>
        <v>TAK</v>
      </c>
      <c r="AC110" s="224" t="str">
        <f t="shared" si="4"/>
        <v>TAK</v>
      </c>
      <c r="AD110" s="224" t="str">
        <f t="shared" si="4"/>
        <v>TAK</v>
      </c>
      <c r="AE110" s="224" t="str">
        <f t="shared" si="4"/>
        <v>TAK</v>
      </c>
      <c r="AF110" s="224" t="str">
        <f t="shared" si="4"/>
        <v>TAK</v>
      </c>
      <c r="AG110" s="224" t="str">
        <f t="shared" si="4"/>
        <v>TAK</v>
      </c>
      <c r="AH110" s="224" t="str">
        <f t="shared" si="4"/>
        <v>TAK</v>
      </c>
      <c r="AI110" s="224" t="str">
        <f t="shared" si="4"/>
        <v>TAK</v>
      </c>
      <c r="AJ110" s="224" t="str">
        <f t="shared" si="4"/>
        <v>TAK</v>
      </c>
      <c r="AK110" s="224" t="str">
        <f t="shared" si="4"/>
        <v>TAK</v>
      </c>
      <c r="AL110" s="223" t="str">
        <f t="shared" si="4"/>
        <v>TAK</v>
      </c>
    </row>
    <row r="111" spans="1:39" hidden="1" outlineLevel="2">
      <c r="B111" s="211"/>
      <c r="C111" s="210"/>
      <c r="D111" s="222" t="s">
        <v>159</v>
      </c>
      <c r="E111" s="208" t="s">
        <v>39</v>
      </c>
      <c r="F111" s="207" t="s">
        <v>39</v>
      </c>
      <c r="G111" s="207" t="s">
        <v>39</v>
      </c>
      <c r="H111" s="206" t="s">
        <v>39</v>
      </c>
      <c r="I111" s="205" t="str">
        <f>IF(I49&lt;=15%,"TAK","NIE")</f>
        <v>NIE</v>
      </c>
      <c r="J111" s="204" t="s">
        <v>39</v>
      </c>
      <c r="K111" s="204" t="s">
        <v>39</v>
      </c>
      <c r="L111" s="204" t="s">
        <v>39</v>
      </c>
      <c r="M111" s="204" t="s">
        <v>39</v>
      </c>
      <c r="N111" s="204" t="s">
        <v>39</v>
      </c>
      <c r="O111" s="204" t="s">
        <v>39</v>
      </c>
      <c r="P111" s="204" t="s">
        <v>39</v>
      </c>
      <c r="Q111" s="204" t="s">
        <v>39</v>
      </c>
      <c r="R111" s="204" t="s">
        <v>39</v>
      </c>
      <c r="S111" s="204" t="s">
        <v>39</v>
      </c>
      <c r="T111" s="204" t="s">
        <v>39</v>
      </c>
      <c r="U111" s="204" t="s">
        <v>39</v>
      </c>
      <c r="V111" s="204" t="s">
        <v>39</v>
      </c>
      <c r="W111" s="204" t="s">
        <v>39</v>
      </c>
      <c r="X111" s="204" t="s">
        <v>39</v>
      </c>
      <c r="Y111" s="204" t="s">
        <v>39</v>
      </c>
      <c r="Z111" s="204" t="s">
        <v>39</v>
      </c>
      <c r="AA111" s="204" t="s">
        <v>39</v>
      </c>
      <c r="AB111" s="204" t="s">
        <v>39</v>
      </c>
      <c r="AC111" s="204" t="s">
        <v>39</v>
      </c>
      <c r="AD111" s="204" t="s">
        <v>39</v>
      </c>
      <c r="AE111" s="204" t="s">
        <v>39</v>
      </c>
      <c r="AF111" s="204" t="s">
        <v>39</v>
      </c>
      <c r="AG111" s="204" t="s">
        <v>39</v>
      </c>
      <c r="AH111" s="204" t="s">
        <v>39</v>
      </c>
      <c r="AI111" s="204" t="s">
        <v>39</v>
      </c>
      <c r="AJ111" s="204" t="s">
        <v>39</v>
      </c>
      <c r="AK111" s="204" t="s">
        <v>39</v>
      </c>
      <c r="AL111" s="203" t="s">
        <v>39</v>
      </c>
    </row>
    <row r="112" spans="1:39" hidden="1" outlineLevel="2">
      <c r="B112" s="211"/>
      <c r="C112" s="210"/>
      <c r="D112" s="222" t="s">
        <v>158</v>
      </c>
      <c r="E112" s="208" t="s">
        <v>39</v>
      </c>
      <c r="F112" s="207" t="s">
        <v>39</v>
      </c>
      <c r="G112" s="207" t="s">
        <v>39</v>
      </c>
      <c r="H112" s="206" t="s">
        <v>39</v>
      </c>
      <c r="I112" s="205" t="str">
        <f>IF(I50&lt;=15%,"TAK","NIE")</f>
        <v>TAK</v>
      </c>
      <c r="J112" s="204" t="s">
        <v>39</v>
      </c>
      <c r="K112" s="204" t="s">
        <v>39</v>
      </c>
      <c r="L112" s="204" t="s">
        <v>39</v>
      </c>
      <c r="M112" s="204" t="s">
        <v>39</v>
      </c>
      <c r="N112" s="204" t="s">
        <v>39</v>
      </c>
      <c r="O112" s="204" t="s">
        <v>39</v>
      </c>
      <c r="P112" s="204" t="s">
        <v>39</v>
      </c>
      <c r="Q112" s="204" t="s">
        <v>39</v>
      </c>
      <c r="R112" s="204" t="s">
        <v>39</v>
      </c>
      <c r="S112" s="204" t="s">
        <v>39</v>
      </c>
      <c r="T112" s="204" t="s">
        <v>39</v>
      </c>
      <c r="U112" s="204" t="s">
        <v>39</v>
      </c>
      <c r="V112" s="204" t="s">
        <v>39</v>
      </c>
      <c r="W112" s="204" t="s">
        <v>39</v>
      </c>
      <c r="X112" s="204" t="s">
        <v>39</v>
      </c>
      <c r="Y112" s="204" t="s">
        <v>39</v>
      </c>
      <c r="Z112" s="204" t="s">
        <v>39</v>
      </c>
      <c r="AA112" s="204" t="s">
        <v>39</v>
      </c>
      <c r="AB112" s="204" t="s">
        <v>39</v>
      </c>
      <c r="AC112" s="204" t="s">
        <v>39</v>
      </c>
      <c r="AD112" s="204" t="s">
        <v>39</v>
      </c>
      <c r="AE112" s="204" t="s">
        <v>39</v>
      </c>
      <c r="AF112" s="204" t="s">
        <v>39</v>
      </c>
      <c r="AG112" s="204" t="s">
        <v>39</v>
      </c>
      <c r="AH112" s="204" t="s">
        <v>39</v>
      </c>
      <c r="AI112" s="204" t="s">
        <v>39</v>
      </c>
      <c r="AJ112" s="204" t="s">
        <v>39</v>
      </c>
      <c r="AK112" s="204" t="s">
        <v>39</v>
      </c>
      <c r="AL112" s="203" t="s">
        <v>39</v>
      </c>
    </row>
    <row r="113" spans="2:38" hidden="1" outlineLevel="2">
      <c r="B113" s="211"/>
      <c r="C113" s="210"/>
      <c r="D113" s="222" t="s">
        <v>157</v>
      </c>
      <c r="E113" s="208" t="s">
        <v>39</v>
      </c>
      <c r="F113" s="207" t="s">
        <v>39</v>
      </c>
      <c r="G113" s="207" t="s">
        <v>39</v>
      </c>
      <c r="H113" s="206" t="s">
        <v>39</v>
      </c>
      <c r="I113" s="205" t="str">
        <f>IF(I42&lt;=60%,"TAK","NIE")</f>
        <v>TAK</v>
      </c>
      <c r="J113" s="204" t="s">
        <v>39</v>
      </c>
      <c r="K113" s="204" t="s">
        <v>39</v>
      </c>
      <c r="L113" s="204" t="s">
        <v>39</v>
      </c>
      <c r="M113" s="204" t="s">
        <v>39</v>
      </c>
      <c r="N113" s="204" t="s">
        <v>39</v>
      </c>
      <c r="O113" s="204" t="s">
        <v>39</v>
      </c>
      <c r="P113" s="204" t="s">
        <v>39</v>
      </c>
      <c r="Q113" s="204" t="s">
        <v>39</v>
      </c>
      <c r="R113" s="204" t="s">
        <v>39</v>
      </c>
      <c r="S113" s="204" t="s">
        <v>39</v>
      </c>
      <c r="T113" s="204" t="s">
        <v>39</v>
      </c>
      <c r="U113" s="204" t="s">
        <v>39</v>
      </c>
      <c r="V113" s="204" t="s">
        <v>39</v>
      </c>
      <c r="W113" s="204" t="s">
        <v>39</v>
      </c>
      <c r="X113" s="204" t="s">
        <v>39</v>
      </c>
      <c r="Y113" s="204" t="s">
        <v>39</v>
      </c>
      <c r="Z113" s="204" t="s">
        <v>39</v>
      </c>
      <c r="AA113" s="204" t="s">
        <v>39</v>
      </c>
      <c r="AB113" s="204" t="s">
        <v>39</v>
      </c>
      <c r="AC113" s="204" t="s">
        <v>39</v>
      </c>
      <c r="AD113" s="204" t="s">
        <v>39</v>
      </c>
      <c r="AE113" s="204" t="s">
        <v>39</v>
      </c>
      <c r="AF113" s="204" t="s">
        <v>39</v>
      </c>
      <c r="AG113" s="204" t="s">
        <v>39</v>
      </c>
      <c r="AH113" s="204" t="s">
        <v>39</v>
      </c>
      <c r="AI113" s="204" t="s">
        <v>39</v>
      </c>
      <c r="AJ113" s="204" t="s">
        <v>39</v>
      </c>
      <c r="AK113" s="204" t="s">
        <v>39</v>
      </c>
      <c r="AL113" s="203" t="s">
        <v>39</v>
      </c>
    </row>
    <row r="114" spans="2:38" hidden="1" outlineLevel="2">
      <c r="B114" s="211"/>
      <c r="C114" s="210"/>
      <c r="D114" s="222" t="s">
        <v>156</v>
      </c>
      <c r="E114" s="208" t="s">
        <v>39</v>
      </c>
      <c r="F114" s="207" t="s">
        <v>39</v>
      </c>
      <c r="G114" s="207" t="s">
        <v>39</v>
      </c>
      <c r="H114" s="206" t="s">
        <v>39</v>
      </c>
      <c r="I114" s="205" t="str">
        <f>IF(I43&lt;=60%,"TAK","NIE")</f>
        <v>TAK</v>
      </c>
      <c r="J114" s="204" t="s">
        <v>39</v>
      </c>
      <c r="K114" s="204" t="s">
        <v>39</v>
      </c>
      <c r="L114" s="204" t="s">
        <v>39</v>
      </c>
      <c r="M114" s="204" t="s">
        <v>39</v>
      </c>
      <c r="N114" s="204" t="s">
        <v>39</v>
      </c>
      <c r="O114" s="204" t="s">
        <v>39</v>
      </c>
      <c r="P114" s="204" t="s">
        <v>39</v>
      </c>
      <c r="Q114" s="204" t="s">
        <v>39</v>
      </c>
      <c r="R114" s="204" t="s">
        <v>39</v>
      </c>
      <c r="S114" s="204" t="s">
        <v>39</v>
      </c>
      <c r="T114" s="204" t="s">
        <v>39</v>
      </c>
      <c r="U114" s="204" t="s">
        <v>39</v>
      </c>
      <c r="V114" s="204" t="s">
        <v>39</v>
      </c>
      <c r="W114" s="204" t="s">
        <v>39</v>
      </c>
      <c r="X114" s="204" t="s">
        <v>39</v>
      </c>
      <c r="Y114" s="204" t="s">
        <v>39</v>
      </c>
      <c r="Z114" s="204" t="s">
        <v>39</v>
      </c>
      <c r="AA114" s="204" t="s">
        <v>39</v>
      </c>
      <c r="AB114" s="204" t="s">
        <v>39</v>
      </c>
      <c r="AC114" s="204" t="s">
        <v>39</v>
      </c>
      <c r="AD114" s="204" t="s">
        <v>39</v>
      </c>
      <c r="AE114" s="204" t="s">
        <v>39</v>
      </c>
      <c r="AF114" s="204" t="s">
        <v>39</v>
      </c>
      <c r="AG114" s="204" t="s">
        <v>39</v>
      </c>
      <c r="AH114" s="204" t="s">
        <v>39</v>
      </c>
      <c r="AI114" s="204" t="s">
        <v>39</v>
      </c>
      <c r="AJ114" s="204" t="s">
        <v>39</v>
      </c>
      <c r="AK114" s="204" t="s">
        <v>39</v>
      </c>
      <c r="AL114" s="203" t="s">
        <v>39</v>
      </c>
    </row>
    <row r="115" spans="2:38" ht="24" hidden="1" outlineLevel="2">
      <c r="B115" s="211" t="s">
        <v>155</v>
      </c>
      <c r="C115" s="210"/>
      <c r="D115" s="222" t="s">
        <v>154</v>
      </c>
      <c r="E115" s="208" t="s">
        <v>39</v>
      </c>
      <c r="F115" s="207" t="s">
        <v>39</v>
      </c>
      <c r="G115" s="207" t="s">
        <v>39</v>
      </c>
      <c r="H115" s="206" t="s">
        <v>39</v>
      </c>
      <c r="I115" s="205" t="s">
        <v>39</v>
      </c>
      <c r="J115" s="204" t="s">
        <v>39</v>
      </c>
      <c r="K115" s="204" t="str">
        <f t="shared" ref="K115:AL115" si="5">IF(K87=0,"TAK","BŁĄD")</f>
        <v>TAK</v>
      </c>
      <c r="L115" s="204" t="str">
        <f t="shared" si="5"/>
        <v>TAK</v>
      </c>
      <c r="M115" s="204" t="str">
        <f t="shared" si="5"/>
        <v>TAK</v>
      </c>
      <c r="N115" s="204" t="str">
        <f t="shared" si="5"/>
        <v>TAK</v>
      </c>
      <c r="O115" s="204" t="str">
        <f t="shared" si="5"/>
        <v>TAK</v>
      </c>
      <c r="P115" s="204" t="str">
        <f t="shared" si="5"/>
        <v>TAK</v>
      </c>
      <c r="Q115" s="204" t="str">
        <f t="shared" si="5"/>
        <v>TAK</v>
      </c>
      <c r="R115" s="204" t="str">
        <f t="shared" si="5"/>
        <v>TAK</v>
      </c>
      <c r="S115" s="204" t="str">
        <f t="shared" si="5"/>
        <v>TAK</v>
      </c>
      <c r="T115" s="204" t="str">
        <f t="shared" si="5"/>
        <v>TAK</v>
      </c>
      <c r="U115" s="204" t="str">
        <f t="shared" si="5"/>
        <v>TAK</v>
      </c>
      <c r="V115" s="204" t="str">
        <f t="shared" si="5"/>
        <v>TAK</v>
      </c>
      <c r="W115" s="204" t="str">
        <f t="shared" si="5"/>
        <v>TAK</v>
      </c>
      <c r="X115" s="204" t="str">
        <f t="shared" si="5"/>
        <v>TAK</v>
      </c>
      <c r="Y115" s="204" t="str">
        <f t="shared" si="5"/>
        <v>TAK</v>
      </c>
      <c r="Z115" s="204" t="str">
        <f t="shared" si="5"/>
        <v>TAK</v>
      </c>
      <c r="AA115" s="204" t="str">
        <f t="shared" si="5"/>
        <v>TAK</v>
      </c>
      <c r="AB115" s="204" t="str">
        <f t="shared" si="5"/>
        <v>TAK</v>
      </c>
      <c r="AC115" s="204" t="str">
        <f t="shared" si="5"/>
        <v>TAK</v>
      </c>
      <c r="AD115" s="204" t="str">
        <f t="shared" si="5"/>
        <v>TAK</v>
      </c>
      <c r="AE115" s="204" t="str">
        <f t="shared" si="5"/>
        <v>TAK</v>
      </c>
      <c r="AF115" s="204" t="str">
        <f t="shared" si="5"/>
        <v>TAK</v>
      </c>
      <c r="AG115" s="204" t="str">
        <f t="shared" si="5"/>
        <v>TAK</v>
      </c>
      <c r="AH115" s="204" t="str">
        <f t="shared" si="5"/>
        <v>TAK</v>
      </c>
      <c r="AI115" s="204" t="str">
        <f t="shared" si="5"/>
        <v>TAK</v>
      </c>
      <c r="AJ115" s="204" t="str">
        <f t="shared" si="5"/>
        <v>TAK</v>
      </c>
      <c r="AK115" s="204" t="str">
        <f t="shared" si="5"/>
        <v>TAK</v>
      </c>
      <c r="AL115" s="203" t="str">
        <f t="shared" si="5"/>
        <v>TAK</v>
      </c>
    </row>
    <row r="116" spans="2:38" hidden="1" outlineLevel="1">
      <c r="B116" s="211" t="s">
        <v>153</v>
      </c>
      <c r="C116" s="210"/>
      <c r="D116" s="218" t="s">
        <v>152</v>
      </c>
      <c r="E116" s="208" t="s">
        <v>39</v>
      </c>
      <c r="F116" s="207" t="s">
        <v>39</v>
      </c>
      <c r="G116" s="207" t="s">
        <v>39</v>
      </c>
      <c r="H116" s="206" t="s">
        <v>39</v>
      </c>
      <c r="I116" s="217" t="str">
        <f>IF(ROUND(I5+I25-I16-I34,2)=0,"OK",ROUND(I5+I25-I16-I34,2))</f>
        <v>OK</v>
      </c>
      <c r="J116" s="216" t="str">
        <f t="shared" ref="J116:AL116" si="6">IF(ROUND(J5+J25-J16-J34,2)=0,"OK",ROUND(J5+J25-J16-J34,2))</f>
        <v>OK</v>
      </c>
      <c r="K116" s="216" t="str">
        <f t="shared" si="6"/>
        <v>OK</v>
      </c>
      <c r="L116" s="216" t="str">
        <f t="shared" si="6"/>
        <v>OK</v>
      </c>
      <c r="M116" s="216" t="str">
        <f t="shared" si="6"/>
        <v>OK</v>
      </c>
      <c r="N116" s="216" t="str">
        <f t="shared" si="6"/>
        <v>OK</v>
      </c>
      <c r="O116" s="216" t="str">
        <f t="shared" si="6"/>
        <v>OK</v>
      </c>
      <c r="P116" s="216" t="str">
        <f t="shared" si="6"/>
        <v>OK</v>
      </c>
      <c r="Q116" s="216" t="str">
        <f t="shared" si="6"/>
        <v>OK</v>
      </c>
      <c r="R116" s="216" t="str">
        <f t="shared" si="6"/>
        <v>OK</v>
      </c>
      <c r="S116" s="216" t="str">
        <f t="shared" si="6"/>
        <v>OK</v>
      </c>
      <c r="T116" s="216" t="str">
        <f t="shared" si="6"/>
        <v>OK</v>
      </c>
      <c r="U116" s="216" t="str">
        <f t="shared" si="6"/>
        <v>OK</v>
      </c>
      <c r="V116" s="216" t="str">
        <f t="shared" si="6"/>
        <v>OK</v>
      </c>
      <c r="W116" s="216" t="str">
        <f t="shared" si="6"/>
        <v>OK</v>
      </c>
      <c r="X116" s="216" t="str">
        <f t="shared" si="6"/>
        <v>OK</v>
      </c>
      <c r="Y116" s="216" t="str">
        <f t="shared" si="6"/>
        <v>OK</v>
      </c>
      <c r="Z116" s="216" t="str">
        <f t="shared" si="6"/>
        <v>OK</v>
      </c>
      <c r="AA116" s="216" t="str">
        <f t="shared" si="6"/>
        <v>OK</v>
      </c>
      <c r="AB116" s="216" t="str">
        <f t="shared" si="6"/>
        <v>OK</v>
      </c>
      <c r="AC116" s="216" t="str">
        <f t="shared" si="6"/>
        <v>OK</v>
      </c>
      <c r="AD116" s="216" t="str">
        <f t="shared" si="6"/>
        <v>OK</v>
      </c>
      <c r="AE116" s="216" t="str">
        <f t="shared" si="6"/>
        <v>OK</v>
      </c>
      <c r="AF116" s="216" t="str">
        <f t="shared" si="6"/>
        <v>OK</v>
      </c>
      <c r="AG116" s="216" t="str">
        <f t="shared" si="6"/>
        <v>OK</v>
      </c>
      <c r="AH116" s="216" t="str">
        <f t="shared" si="6"/>
        <v>OK</v>
      </c>
      <c r="AI116" s="216" t="str">
        <f t="shared" si="6"/>
        <v>OK</v>
      </c>
      <c r="AJ116" s="216" t="str">
        <f t="shared" si="6"/>
        <v>OK</v>
      </c>
      <c r="AK116" s="216" t="str">
        <f t="shared" si="6"/>
        <v>OK</v>
      </c>
      <c r="AL116" s="215" t="str">
        <f t="shared" si="6"/>
        <v>OK</v>
      </c>
    </row>
    <row r="117" spans="2:38" hidden="1" outlineLevel="2">
      <c r="B117" s="220" t="s">
        <v>151</v>
      </c>
      <c r="C117" s="219"/>
      <c r="D117" s="218" t="s">
        <v>150</v>
      </c>
      <c r="E117" s="208" t="s">
        <v>39</v>
      </c>
      <c r="F117" s="207" t="s">
        <v>39</v>
      </c>
      <c r="G117" s="207" t="s">
        <v>39</v>
      </c>
      <c r="H117" s="206" t="s">
        <v>39</v>
      </c>
      <c r="I117" s="217" t="str">
        <f>+IF(ROUND(H39+I30-I35+(I94-H94)+I99-I39,2)=0,"OK",ROUND(H39+I30-I35+(I94-H94)+I99-I39,2))</f>
        <v>OK</v>
      </c>
      <c r="J117" s="216" t="str">
        <f t="shared" ref="J117:AL117" si="7">+IF(ROUND(I39+J30-J35+(J94-I94)+J99-J39,2)=0,"OK",ROUND(I39+J30-J35+(J94-I94)+J99-J39,2))</f>
        <v>OK</v>
      </c>
      <c r="K117" s="216" t="str">
        <f t="shared" si="7"/>
        <v>OK</v>
      </c>
      <c r="L117" s="216" t="str">
        <f t="shared" si="7"/>
        <v>OK</v>
      </c>
      <c r="M117" s="216" t="str">
        <f t="shared" si="7"/>
        <v>OK</v>
      </c>
      <c r="N117" s="216" t="str">
        <f t="shared" si="7"/>
        <v>OK</v>
      </c>
      <c r="O117" s="216" t="str">
        <f t="shared" si="7"/>
        <v>OK</v>
      </c>
      <c r="P117" s="216" t="str">
        <f t="shared" si="7"/>
        <v>OK</v>
      </c>
      <c r="Q117" s="216" t="str">
        <f t="shared" si="7"/>
        <v>OK</v>
      </c>
      <c r="R117" s="216" t="str">
        <f t="shared" si="7"/>
        <v>OK</v>
      </c>
      <c r="S117" s="216" t="str">
        <f t="shared" si="7"/>
        <v>OK</v>
      </c>
      <c r="T117" s="216" t="str">
        <f t="shared" si="7"/>
        <v>OK</v>
      </c>
      <c r="U117" s="216" t="str">
        <f t="shared" si="7"/>
        <v>OK</v>
      </c>
      <c r="V117" s="216" t="str">
        <f t="shared" si="7"/>
        <v>OK</v>
      </c>
      <c r="W117" s="216" t="str">
        <f t="shared" si="7"/>
        <v>OK</v>
      </c>
      <c r="X117" s="216" t="str">
        <f t="shared" si="7"/>
        <v>OK</v>
      </c>
      <c r="Y117" s="216" t="str">
        <f t="shared" si="7"/>
        <v>OK</v>
      </c>
      <c r="Z117" s="216" t="str">
        <f t="shared" si="7"/>
        <v>OK</v>
      </c>
      <c r="AA117" s="216" t="str">
        <f t="shared" si="7"/>
        <v>OK</v>
      </c>
      <c r="AB117" s="216" t="str">
        <f t="shared" si="7"/>
        <v>OK</v>
      </c>
      <c r="AC117" s="216" t="str">
        <f t="shared" si="7"/>
        <v>OK</v>
      </c>
      <c r="AD117" s="216" t="str">
        <f t="shared" si="7"/>
        <v>OK</v>
      </c>
      <c r="AE117" s="216" t="str">
        <f t="shared" si="7"/>
        <v>OK</v>
      </c>
      <c r="AF117" s="216" t="str">
        <f t="shared" si="7"/>
        <v>OK</v>
      </c>
      <c r="AG117" s="216" t="str">
        <f t="shared" si="7"/>
        <v>OK</v>
      </c>
      <c r="AH117" s="216" t="str">
        <f t="shared" si="7"/>
        <v>OK</v>
      </c>
      <c r="AI117" s="216" t="str">
        <f t="shared" si="7"/>
        <v>OK</v>
      </c>
      <c r="AJ117" s="216" t="str">
        <f t="shared" si="7"/>
        <v>OK</v>
      </c>
      <c r="AK117" s="216" t="str">
        <f t="shared" si="7"/>
        <v>OK</v>
      </c>
      <c r="AL117" s="215" t="str">
        <f t="shared" si="7"/>
        <v>OK</v>
      </c>
    </row>
    <row r="118" spans="2:38" ht="48" hidden="1" outlineLevel="2">
      <c r="B118" s="220" t="s">
        <v>149</v>
      </c>
      <c r="C118" s="219"/>
      <c r="D118" s="218" t="s">
        <v>148</v>
      </c>
      <c r="E118" s="221" t="s">
        <v>39</v>
      </c>
      <c r="F118" s="207" t="s">
        <v>39</v>
      </c>
      <c r="G118" s="207" t="s">
        <v>39</v>
      </c>
      <c r="H118" s="206" t="s">
        <v>39</v>
      </c>
      <c r="I118" s="216" t="str">
        <f>+IF(H94=0,"N/D",IF(ROUND(I94+I95-H94,2)=0,"OK",ROUND(I94+I95-H94,2)))</f>
        <v>OK</v>
      </c>
      <c r="J118" s="216" t="str">
        <f t="shared" ref="J118:AL118" si="8">+IF(I94=0,"N/D",IF(ROUND(J94+J95-I94,2)=0,"OK",ROUND(J94+J95-I94,2)))</f>
        <v>OK</v>
      </c>
      <c r="K118" s="216" t="str">
        <f t="shared" si="8"/>
        <v>OK</v>
      </c>
      <c r="L118" s="216" t="str">
        <f t="shared" si="8"/>
        <v>N/D</v>
      </c>
      <c r="M118" s="216" t="str">
        <f t="shared" si="8"/>
        <v>N/D</v>
      </c>
      <c r="N118" s="216" t="str">
        <f t="shared" si="8"/>
        <v>N/D</v>
      </c>
      <c r="O118" s="216" t="str">
        <f t="shared" si="8"/>
        <v>N/D</v>
      </c>
      <c r="P118" s="216" t="str">
        <f t="shared" si="8"/>
        <v>N/D</v>
      </c>
      <c r="Q118" s="216" t="str">
        <f t="shared" si="8"/>
        <v>N/D</v>
      </c>
      <c r="R118" s="216" t="str">
        <f t="shared" si="8"/>
        <v>N/D</v>
      </c>
      <c r="S118" s="216" t="str">
        <f t="shared" si="8"/>
        <v>N/D</v>
      </c>
      <c r="T118" s="216" t="str">
        <f t="shared" si="8"/>
        <v>N/D</v>
      </c>
      <c r="U118" s="216" t="str">
        <f t="shared" si="8"/>
        <v>N/D</v>
      </c>
      <c r="V118" s="216" t="str">
        <f t="shared" si="8"/>
        <v>N/D</v>
      </c>
      <c r="W118" s="216" t="str">
        <f t="shared" si="8"/>
        <v>N/D</v>
      </c>
      <c r="X118" s="216" t="str">
        <f t="shared" si="8"/>
        <v>N/D</v>
      </c>
      <c r="Y118" s="216" t="str">
        <f t="shared" si="8"/>
        <v>N/D</v>
      </c>
      <c r="Z118" s="216" t="str">
        <f t="shared" si="8"/>
        <v>N/D</v>
      </c>
      <c r="AA118" s="216" t="str">
        <f t="shared" si="8"/>
        <v>N/D</v>
      </c>
      <c r="AB118" s="216" t="str">
        <f t="shared" si="8"/>
        <v>N/D</v>
      </c>
      <c r="AC118" s="216" t="str">
        <f t="shared" si="8"/>
        <v>N/D</v>
      </c>
      <c r="AD118" s="216" t="str">
        <f t="shared" si="8"/>
        <v>N/D</v>
      </c>
      <c r="AE118" s="216" t="str">
        <f t="shared" si="8"/>
        <v>N/D</v>
      </c>
      <c r="AF118" s="216" t="str">
        <f t="shared" si="8"/>
        <v>N/D</v>
      </c>
      <c r="AG118" s="216" t="str">
        <f t="shared" si="8"/>
        <v>N/D</v>
      </c>
      <c r="AH118" s="216" t="str">
        <f t="shared" si="8"/>
        <v>N/D</v>
      </c>
      <c r="AI118" s="216" t="str">
        <f t="shared" si="8"/>
        <v>N/D</v>
      </c>
      <c r="AJ118" s="216" t="str">
        <f t="shared" si="8"/>
        <v>N/D</v>
      </c>
      <c r="AK118" s="216" t="str">
        <f t="shared" si="8"/>
        <v>N/D</v>
      </c>
      <c r="AL118" s="215" t="str">
        <f t="shared" si="8"/>
        <v>N/D</v>
      </c>
    </row>
    <row r="119" spans="2:38" ht="36" hidden="1" outlineLevel="2">
      <c r="B119" s="220" t="s">
        <v>147</v>
      </c>
      <c r="C119" s="219"/>
      <c r="D119" s="218" t="s">
        <v>146</v>
      </c>
      <c r="E119" s="208" t="s">
        <v>39</v>
      </c>
      <c r="F119" s="207" t="s">
        <v>39</v>
      </c>
      <c r="G119" s="207" t="s">
        <v>39</v>
      </c>
      <c r="H119" s="206" t="s">
        <v>39</v>
      </c>
      <c r="I119" s="217" t="str">
        <f>+IF(H85=0,"N/D",IF(ROUND(I85+(I87+I88+I89+I90)-H85,2)=0,"OK",ROUND(I85+(I87+I88+I89+I90)-H85,2)))</f>
        <v>N/D</v>
      </c>
      <c r="J119" s="216" t="str">
        <f t="shared" ref="J119:AL119" si="9">+IF(I85=0,"N/D",IF(ROUND(J85+(J87+J88+J89+J90)-I85,2)=0,"OK",ROUND(J85+(J87+J88+J89+J90)-I85,2)))</f>
        <v>N/D</v>
      </c>
      <c r="K119" s="216" t="str">
        <f t="shared" si="9"/>
        <v>N/D</v>
      </c>
      <c r="L119" s="216" t="str">
        <f t="shared" si="9"/>
        <v>N/D</v>
      </c>
      <c r="M119" s="216" t="str">
        <f t="shared" si="9"/>
        <v>N/D</v>
      </c>
      <c r="N119" s="216" t="str">
        <f t="shared" si="9"/>
        <v>N/D</v>
      </c>
      <c r="O119" s="216" t="str">
        <f t="shared" si="9"/>
        <v>N/D</v>
      </c>
      <c r="P119" s="216" t="str">
        <f t="shared" si="9"/>
        <v>N/D</v>
      </c>
      <c r="Q119" s="216" t="str">
        <f t="shared" si="9"/>
        <v>N/D</v>
      </c>
      <c r="R119" s="216" t="str">
        <f t="shared" si="9"/>
        <v>N/D</v>
      </c>
      <c r="S119" s="216" t="str">
        <f t="shared" si="9"/>
        <v>N/D</v>
      </c>
      <c r="T119" s="216" t="str">
        <f t="shared" si="9"/>
        <v>N/D</v>
      </c>
      <c r="U119" s="216" t="str">
        <f t="shared" si="9"/>
        <v>N/D</v>
      </c>
      <c r="V119" s="216" t="str">
        <f t="shared" si="9"/>
        <v>N/D</v>
      </c>
      <c r="W119" s="216" t="str">
        <f t="shared" si="9"/>
        <v>N/D</v>
      </c>
      <c r="X119" s="216" t="str">
        <f t="shared" si="9"/>
        <v>N/D</v>
      </c>
      <c r="Y119" s="216" t="str">
        <f t="shared" si="9"/>
        <v>N/D</v>
      </c>
      <c r="Z119" s="216" t="str">
        <f t="shared" si="9"/>
        <v>N/D</v>
      </c>
      <c r="AA119" s="216" t="str">
        <f t="shared" si="9"/>
        <v>N/D</v>
      </c>
      <c r="AB119" s="216" t="str">
        <f t="shared" si="9"/>
        <v>N/D</v>
      </c>
      <c r="AC119" s="216" t="str">
        <f t="shared" si="9"/>
        <v>N/D</v>
      </c>
      <c r="AD119" s="216" t="str">
        <f t="shared" si="9"/>
        <v>N/D</v>
      </c>
      <c r="AE119" s="216" t="str">
        <f t="shared" si="9"/>
        <v>N/D</v>
      </c>
      <c r="AF119" s="216" t="str">
        <f t="shared" si="9"/>
        <v>N/D</v>
      </c>
      <c r="AG119" s="216" t="str">
        <f t="shared" si="9"/>
        <v>N/D</v>
      </c>
      <c r="AH119" s="216" t="str">
        <f t="shared" si="9"/>
        <v>N/D</v>
      </c>
      <c r="AI119" s="216" t="str">
        <f t="shared" si="9"/>
        <v>N/D</v>
      </c>
      <c r="AJ119" s="216" t="str">
        <f t="shared" si="9"/>
        <v>N/D</v>
      </c>
      <c r="AK119" s="216" t="str">
        <f t="shared" si="9"/>
        <v>N/D</v>
      </c>
      <c r="AL119" s="215" t="str">
        <f t="shared" si="9"/>
        <v>N/D</v>
      </c>
    </row>
    <row r="120" spans="2:38" hidden="1" outlineLevel="1">
      <c r="B120" s="211" t="s">
        <v>145</v>
      </c>
      <c r="C120" s="210"/>
      <c r="D120" s="209" t="s">
        <v>144</v>
      </c>
      <c r="E120" s="208" t="s">
        <v>39</v>
      </c>
      <c r="F120" s="207" t="s">
        <v>39</v>
      </c>
      <c r="G120" s="207" t="s">
        <v>39</v>
      </c>
      <c r="H120" s="206" t="s">
        <v>39</v>
      </c>
      <c r="I120" s="214" t="str">
        <f>IF(I24&lt;0,IF(ROUND(I27+I29+I31+I33+I24,2)=0,"OK",ROUND(I27+I29+I31+I33+I24,2)),"N/D")</f>
        <v>OK</v>
      </c>
      <c r="J120" s="213" t="str">
        <f t="shared" ref="J120:AL120" si="10">IF(J24&lt;0,IF(ROUND(J27+J29+J31+J33+J24,2)=0,"OK",ROUND(J27+J29+J31+J33+J24,2)),"N/D")</f>
        <v>N/D</v>
      </c>
      <c r="K120" s="213" t="str">
        <f t="shared" si="10"/>
        <v>N/D</v>
      </c>
      <c r="L120" s="213" t="str">
        <f t="shared" si="10"/>
        <v>N/D</v>
      </c>
      <c r="M120" s="213" t="str">
        <f t="shared" si="10"/>
        <v>N/D</v>
      </c>
      <c r="N120" s="213" t="str">
        <f t="shared" si="10"/>
        <v>N/D</v>
      </c>
      <c r="O120" s="213" t="str">
        <f t="shared" si="10"/>
        <v>N/D</v>
      </c>
      <c r="P120" s="213" t="str">
        <f t="shared" si="10"/>
        <v>N/D</v>
      </c>
      <c r="Q120" s="213" t="str">
        <f t="shared" si="10"/>
        <v>N/D</v>
      </c>
      <c r="R120" s="213" t="str">
        <f t="shared" si="10"/>
        <v>N/D</v>
      </c>
      <c r="S120" s="213" t="str">
        <f t="shared" si="10"/>
        <v>N/D</v>
      </c>
      <c r="T120" s="213" t="str">
        <f t="shared" si="10"/>
        <v>N/D</v>
      </c>
      <c r="U120" s="213" t="str">
        <f t="shared" si="10"/>
        <v>N/D</v>
      </c>
      <c r="V120" s="213" t="str">
        <f t="shared" si="10"/>
        <v>N/D</v>
      </c>
      <c r="W120" s="213" t="str">
        <f t="shared" si="10"/>
        <v>N/D</v>
      </c>
      <c r="X120" s="213" t="str">
        <f t="shared" si="10"/>
        <v>N/D</v>
      </c>
      <c r="Y120" s="213" t="str">
        <f t="shared" si="10"/>
        <v>N/D</v>
      </c>
      <c r="Z120" s="213" t="str">
        <f t="shared" si="10"/>
        <v>N/D</v>
      </c>
      <c r="AA120" s="213" t="str">
        <f t="shared" si="10"/>
        <v>N/D</v>
      </c>
      <c r="AB120" s="213" t="str">
        <f t="shared" si="10"/>
        <v>N/D</v>
      </c>
      <c r="AC120" s="213" t="str">
        <f t="shared" si="10"/>
        <v>N/D</v>
      </c>
      <c r="AD120" s="213" t="str">
        <f t="shared" si="10"/>
        <v>N/D</v>
      </c>
      <c r="AE120" s="213" t="str">
        <f t="shared" si="10"/>
        <v>N/D</v>
      </c>
      <c r="AF120" s="213" t="str">
        <f t="shared" si="10"/>
        <v>N/D</v>
      </c>
      <c r="AG120" s="213" t="str">
        <f t="shared" si="10"/>
        <v>N/D</v>
      </c>
      <c r="AH120" s="213" t="str">
        <f t="shared" si="10"/>
        <v>N/D</v>
      </c>
      <c r="AI120" s="213" t="str">
        <f t="shared" si="10"/>
        <v>N/D</v>
      </c>
      <c r="AJ120" s="213" t="str">
        <f t="shared" si="10"/>
        <v>N/D</v>
      </c>
      <c r="AK120" s="213" t="str">
        <f t="shared" si="10"/>
        <v>N/D</v>
      </c>
      <c r="AL120" s="212" t="str">
        <f t="shared" si="10"/>
        <v>N/D</v>
      </c>
    </row>
    <row r="121" spans="2:38" hidden="1" outlineLevel="2">
      <c r="B121" s="211" t="s">
        <v>143</v>
      </c>
      <c r="C121" s="210"/>
      <c r="D121" s="209" t="s">
        <v>142</v>
      </c>
      <c r="E121" s="208" t="s">
        <v>39</v>
      </c>
      <c r="F121" s="207" t="s">
        <v>39</v>
      </c>
      <c r="G121" s="207" t="s">
        <v>39</v>
      </c>
      <c r="H121" s="206" t="s">
        <v>39</v>
      </c>
      <c r="I121" s="214" t="str">
        <f>IF(I24&gt;=0,IF(ROUND(I27+I29+I31+I33,2)=0,"OK",ROUND(I27+I29+I31+I33,2)),"N/D")</f>
        <v>N/D</v>
      </c>
      <c r="J121" s="213" t="str">
        <f t="shared" ref="J121:AL121" si="11">IF(J24&gt;=0,IF(ROUND(J27+J29+J31+J33,2)=0,"OK",ROUND(J27+J29+J31+J33,2)),"N/D")</f>
        <v>OK</v>
      </c>
      <c r="K121" s="213" t="str">
        <f t="shared" si="11"/>
        <v>OK</v>
      </c>
      <c r="L121" s="213" t="str">
        <f t="shared" si="11"/>
        <v>OK</v>
      </c>
      <c r="M121" s="213" t="str">
        <f t="shared" si="11"/>
        <v>OK</v>
      </c>
      <c r="N121" s="213" t="str">
        <f t="shared" si="11"/>
        <v>OK</v>
      </c>
      <c r="O121" s="213" t="str">
        <f t="shared" si="11"/>
        <v>OK</v>
      </c>
      <c r="P121" s="213" t="str">
        <f t="shared" si="11"/>
        <v>OK</v>
      </c>
      <c r="Q121" s="213" t="str">
        <f t="shared" si="11"/>
        <v>OK</v>
      </c>
      <c r="R121" s="213" t="str">
        <f t="shared" si="11"/>
        <v>OK</v>
      </c>
      <c r="S121" s="213" t="str">
        <f t="shared" si="11"/>
        <v>OK</v>
      </c>
      <c r="T121" s="213" t="str">
        <f t="shared" si="11"/>
        <v>OK</v>
      </c>
      <c r="U121" s="213" t="str">
        <f t="shared" si="11"/>
        <v>OK</v>
      </c>
      <c r="V121" s="213" t="str">
        <f t="shared" si="11"/>
        <v>OK</v>
      </c>
      <c r="W121" s="213" t="str">
        <f t="shared" si="11"/>
        <v>OK</v>
      </c>
      <c r="X121" s="213" t="str">
        <f t="shared" si="11"/>
        <v>OK</v>
      </c>
      <c r="Y121" s="213" t="str">
        <f t="shared" si="11"/>
        <v>OK</v>
      </c>
      <c r="Z121" s="213" t="str">
        <f t="shared" si="11"/>
        <v>OK</v>
      </c>
      <c r="AA121" s="213" t="str">
        <f t="shared" si="11"/>
        <v>OK</v>
      </c>
      <c r="AB121" s="213" t="str">
        <f t="shared" si="11"/>
        <v>OK</v>
      </c>
      <c r="AC121" s="213" t="str">
        <f t="shared" si="11"/>
        <v>OK</v>
      </c>
      <c r="AD121" s="213" t="str">
        <f t="shared" si="11"/>
        <v>OK</v>
      </c>
      <c r="AE121" s="213" t="str">
        <f t="shared" si="11"/>
        <v>OK</v>
      </c>
      <c r="AF121" s="213" t="str">
        <f t="shared" si="11"/>
        <v>OK</v>
      </c>
      <c r="AG121" s="213" t="str">
        <f t="shared" si="11"/>
        <v>OK</v>
      </c>
      <c r="AH121" s="213" t="str">
        <f t="shared" si="11"/>
        <v>OK</v>
      </c>
      <c r="AI121" s="213" t="str">
        <f t="shared" si="11"/>
        <v>OK</v>
      </c>
      <c r="AJ121" s="213" t="str">
        <f t="shared" si="11"/>
        <v>OK</v>
      </c>
      <c r="AK121" s="213" t="str">
        <f t="shared" si="11"/>
        <v>OK</v>
      </c>
      <c r="AL121" s="212" t="str">
        <f t="shared" si="11"/>
        <v>OK</v>
      </c>
    </row>
    <row r="122" spans="2:38" hidden="1" outlineLevel="2">
      <c r="B122" s="211" t="s">
        <v>141</v>
      </c>
      <c r="C122" s="210"/>
      <c r="D122" s="209" t="s">
        <v>140</v>
      </c>
      <c r="E122" s="208" t="s">
        <v>39</v>
      </c>
      <c r="F122" s="207" t="s">
        <v>39</v>
      </c>
      <c r="G122" s="207" t="s">
        <v>39</v>
      </c>
      <c r="H122" s="206" t="s">
        <v>39</v>
      </c>
      <c r="I122" s="205" t="str">
        <f t="shared" ref="I122:AL122" si="12">IF(I9&gt;=I10,"OK","BŁĄD")</f>
        <v>OK</v>
      </c>
      <c r="J122" s="204" t="str">
        <f t="shared" si="12"/>
        <v>OK</v>
      </c>
      <c r="K122" s="204" t="str">
        <f t="shared" si="12"/>
        <v>OK</v>
      </c>
      <c r="L122" s="204" t="str">
        <f t="shared" si="12"/>
        <v>OK</v>
      </c>
      <c r="M122" s="204" t="str">
        <f t="shared" si="12"/>
        <v>OK</v>
      </c>
      <c r="N122" s="204" t="str">
        <f t="shared" si="12"/>
        <v>OK</v>
      </c>
      <c r="O122" s="204" t="str">
        <f t="shared" si="12"/>
        <v>OK</v>
      </c>
      <c r="P122" s="204" t="str">
        <f t="shared" si="12"/>
        <v>OK</v>
      </c>
      <c r="Q122" s="204" t="str">
        <f t="shared" si="12"/>
        <v>OK</v>
      </c>
      <c r="R122" s="204" t="str">
        <f t="shared" si="12"/>
        <v>OK</v>
      </c>
      <c r="S122" s="204" t="str">
        <f t="shared" si="12"/>
        <v>OK</v>
      </c>
      <c r="T122" s="204" t="str">
        <f t="shared" si="12"/>
        <v>OK</v>
      </c>
      <c r="U122" s="204" t="str">
        <f t="shared" si="12"/>
        <v>OK</v>
      </c>
      <c r="V122" s="204" t="str">
        <f t="shared" si="12"/>
        <v>OK</v>
      </c>
      <c r="W122" s="204" t="str">
        <f t="shared" si="12"/>
        <v>OK</v>
      </c>
      <c r="X122" s="204" t="str">
        <f t="shared" si="12"/>
        <v>OK</v>
      </c>
      <c r="Y122" s="204" t="str">
        <f t="shared" si="12"/>
        <v>OK</v>
      </c>
      <c r="Z122" s="204" t="str">
        <f t="shared" si="12"/>
        <v>OK</v>
      </c>
      <c r="AA122" s="204" t="str">
        <f t="shared" si="12"/>
        <v>OK</v>
      </c>
      <c r="AB122" s="204" t="str">
        <f t="shared" si="12"/>
        <v>OK</v>
      </c>
      <c r="AC122" s="204" t="str">
        <f t="shared" si="12"/>
        <v>OK</v>
      </c>
      <c r="AD122" s="204" t="str">
        <f t="shared" si="12"/>
        <v>OK</v>
      </c>
      <c r="AE122" s="204" t="str">
        <f t="shared" si="12"/>
        <v>OK</v>
      </c>
      <c r="AF122" s="204" t="str">
        <f t="shared" si="12"/>
        <v>OK</v>
      </c>
      <c r="AG122" s="204" t="str">
        <f t="shared" si="12"/>
        <v>OK</v>
      </c>
      <c r="AH122" s="204" t="str">
        <f t="shared" si="12"/>
        <v>OK</v>
      </c>
      <c r="AI122" s="204" t="str">
        <f t="shared" si="12"/>
        <v>OK</v>
      </c>
      <c r="AJ122" s="204" t="str">
        <f t="shared" si="12"/>
        <v>OK</v>
      </c>
      <c r="AK122" s="204" t="str">
        <f t="shared" si="12"/>
        <v>OK</v>
      </c>
      <c r="AL122" s="203" t="str">
        <f t="shared" si="12"/>
        <v>OK</v>
      </c>
    </row>
    <row r="123" spans="2:38" hidden="1" outlineLevel="2">
      <c r="B123" s="211" t="s">
        <v>139</v>
      </c>
      <c r="C123" s="210"/>
      <c r="D123" s="209" t="s">
        <v>138</v>
      </c>
      <c r="E123" s="208" t="s">
        <v>39</v>
      </c>
      <c r="F123" s="207" t="s">
        <v>39</v>
      </c>
      <c r="G123" s="207" t="s">
        <v>39</v>
      </c>
      <c r="H123" s="206" t="s">
        <v>39</v>
      </c>
      <c r="I123" s="205" t="str">
        <f t="shared" ref="I123:AL123" si="13">IF(I12&gt;=I86,"OK","BŁĄD")</f>
        <v>OK</v>
      </c>
      <c r="J123" s="204" t="str">
        <f t="shared" si="13"/>
        <v>OK</v>
      </c>
      <c r="K123" s="204" t="str">
        <f t="shared" si="13"/>
        <v>OK</v>
      </c>
      <c r="L123" s="204" t="str">
        <f t="shared" si="13"/>
        <v>OK</v>
      </c>
      <c r="M123" s="204" t="str">
        <f t="shared" si="13"/>
        <v>OK</v>
      </c>
      <c r="N123" s="204" t="str">
        <f t="shared" si="13"/>
        <v>OK</v>
      </c>
      <c r="O123" s="204" t="str">
        <f t="shared" si="13"/>
        <v>OK</v>
      </c>
      <c r="P123" s="204" t="str">
        <f t="shared" si="13"/>
        <v>OK</v>
      </c>
      <c r="Q123" s="204" t="str">
        <f t="shared" si="13"/>
        <v>OK</v>
      </c>
      <c r="R123" s="204" t="str">
        <f t="shared" si="13"/>
        <v>OK</v>
      </c>
      <c r="S123" s="204" t="str">
        <f t="shared" si="13"/>
        <v>OK</v>
      </c>
      <c r="T123" s="204" t="str">
        <f t="shared" si="13"/>
        <v>OK</v>
      </c>
      <c r="U123" s="204" t="str">
        <f t="shared" si="13"/>
        <v>OK</v>
      </c>
      <c r="V123" s="204" t="str">
        <f t="shared" si="13"/>
        <v>OK</v>
      </c>
      <c r="W123" s="204" t="str">
        <f t="shared" si="13"/>
        <v>OK</v>
      </c>
      <c r="X123" s="204" t="str">
        <f t="shared" si="13"/>
        <v>OK</v>
      </c>
      <c r="Y123" s="204" t="str">
        <f t="shared" si="13"/>
        <v>OK</v>
      </c>
      <c r="Z123" s="204" t="str">
        <f t="shared" si="13"/>
        <v>OK</v>
      </c>
      <c r="AA123" s="204" t="str">
        <f t="shared" si="13"/>
        <v>OK</v>
      </c>
      <c r="AB123" s="204" t="str">
        <f t="shared" si="13"/>
        <v>OK</v>
      </c>
      <c r="AC123" s="204" t="str">
        <f t="shared" si="13"/>
        <v>OK</v>
      </c>
      <c r="AD123" s="204" t="str">
        <f t="shared" si="13"/>
        <v>OK</v>
      </c>
      <c r="AE123" s="204" t="str">
        <f t="shared" si="13"/>
        <v>OK</v>
      </c>
      <c r="AF123" s="204" t="str">
        <f t="shared" si="13"/>
        <v>OK</v>
      </c>
      <c r="AG123" s="204" t="str">
        <f t="shared" si="13"/>
        <v>OK</v>
      </c>
      <c r="AH123" s="204" t="str">
        <f t="shared" si="13"/>
        <v>OK</v>
      </c>
      <c r="AI123" s="204" t="str">
        <f t="shared" si="13"/>
        <v>OK</v>
      </c>
      <c r="AJ123" s="204" t="str">
        <f t="shared" si="13"/>
        <v>OK</v>
      </c>
      <c r="AK123" s="204" t="str">
        <f t="shared" si="13"/>
        <v>OK</v>
      </c>
      <c r="AL123" s="203" t="str">
        <f t="shared" si="13"/>
        <v>OK</v>
      </c>
    </row>
    <row r="124" spans="2:38" hidden="1" outlineLevel="2">
      <c r="B124" s="211" t="s">
        <v>137</v>
      </c>
      <c r="C124" s="210"/>
      <c r="D124" s="209" t="s">
        <v>136</v>
      </c>
      <c r="E124" s="208" t="s">
        <v>39</v>
      </c>
      <c r="F124" s="207" t="s">
        <v>39</v>
      </c>
      <c r="G124" s="207" t="s">
        <v>39</v>
      </c>
      <c r="H124" s="206" t="s">
        <v>39</v>
      </c>
      <c r="I124" s="205" t="str">
        <f t="shared" ref="I124:AL124" si="14">IF(I6&gt;=I7+I8+I9+I11+I12,"OK","BŁĄD")</f>
        <v>OK</v>
      </c>
      <c r="J124" s="204" t="str">
        <f t="shared" si="14"/>
        <v>OK</v>
      </c>
      <c r="K124" s="204" t="str">
        <f t="shared" si="14"/>
        <v>OK</v>
      </c>
      <c r="L124" s="204" t="str">
        <f t="shared" si="14"/>
        <v>OK</v>
      </c>
      <c r="M124" s="204" t="str">
        <f t="shared" si="14"/>
        <v>OK</v>
      </c>
      <c r="N124" s="204" t="str">
        <f t="shared" si="14"/>
        <v>OK</v>
      </c>
      <c r="O124" s="204" t="str">
        <f t="shared" si="14"/>
        <v>OK</v>
      </c>
      <c r="P124" s="204" t="str">
        <f t="shared" si="14"/>
        <v>OK</v>
      </c>
      <c r="Q124" s="204" t="str">
        <f t="shared" si="14"/>
        <v>OK</v>
      </c>
      <c r="R124" s="204" t="str">
        <f t="shared" si="14"/>
        <v>OK</v>
      </c>
      <c r="S124" s="204" t="str">
        <f t="shared" si="14"/>
        <v>OK</v>
      </c>
      <c r="T124" s="204" t="str">
        <f t="shared" si="14"/>
        <v>OK</v>
      </c>
      <c r="U124" s="204" t="str">
        <f t="shared" si="14"/>
        <v>OK</v>
      </c>
      <c r="V124" s="204" t="str">
        <f t="shared" si="14"/>
        <v>OK</v>
      </c>
      <c r="W124" s="204" t="str">
        <f t="shared" si="14"/>
        <v>OK</v>
      </c>
      <c r="X124" s="204" t="str">
        <f t="shared" si="14"/>
        <v>OK</v>
      </c>
      <c r="Y124" s="204" t="str">
        <f t="shared" si="14"/>
        <v>OK</v>
      </c>
      <c r="Z124" s="204" t="str">
        <f t="shared" si="14"/>
        <v>OK</v>
      </c>
      <c r="AA124" s="204" t="str">
        <f t="shared" si="14"/>
        <v>OK</v>
      </c>
      <c r="AB124" s="204" t="str">
        <f t="shared" si="14"/>
        <v>OK</v>
      </c>
      <c r="AC124" s="204" t="str">
        <f t="shared" si="14"/>
        <v>OK</v>
      </c>
      <c r="AD124" s="204" t="str">
        <f t="shared" si="14"/>
        <v>OK</v>
      </c>
      <c r="AE124" s="204" t="str">
        <f t="shared" si="14"/>
        <v>OK</v>
      </c>
      <c r="AF124" s="204" t="str">
        <f t="shared" si="14"/>
        <v>OK</v>
      </c>
      <c r="AG124" s="204" t="str">
        <f t="shared" si="14"/>
        <v>OK</v>
      </c>
      <c r="AH124" s="204" t="str">
        <f t="shared" si="14"/>
        <v>OK</v>
      </c>
      <c r="AI124" s="204" t="str">
        <f t="shared" si="14"/>
        <v>OK</v>
      </c>
      <c r="AJ124" s="204" t="str">
        <f t="shared" si="14"/>
        <v>OK</v>
      </c>
      <c r="AK124" s="204" t="str">
        <f t="shared" si="14"/>
        <v>OK</v>
      </c>
      <c r="AL124" s="203" t="str">
        <f t="shared" si="14"/>
        <v>OK</v>
      </c>
    </row>
    <row r="125" spans="2:38" hidden="1" outlineLevel="2">
      <c r="B125" s="211" t="s">
        <v>135</v>
      </c>
      <c r="C125" s="210"/>
      <c r="D125" s="209" t="s">
        <v>134</v>
      </c>
      <c r="E125" s="208" t="s">
        <v>39</v>
      </c>
      <c r="F125" s="207" t="s">
        <v>39</v>
      </c>
      <c r="G125" s="207" t="s">
        <v>39</v>
      </c>
      <c r="H125" s="206" t="s">
        <v>39</v>
      </c>
      <c r="I125" s="205" t="str">
        <f t="shared" ref="I125:AL125" si="15">IF(I6&gt;=I72,"OK","BŁĄD")</f>
        <v>OK</v>
      </c>
      <c r="J125" s="204" t="str">
        <f t="shared" si="15"/>
        <v>OK</v>
      </c>
      <c r="K125" s="204" t="str">
        <f t="shared" si="15"/>
        <v>OK</v>
      </c>
      <c r="L125" s="204" t="str">
        <f t="shared" si="15"/>
        <v>OK</v>
      </c>
      <c r="M125" s="204" t="str">
        <f t="shared" si="15"/>
        <v>OK</v>
      </c>
      <c r="N125" s="204" t="str">
        <f t="shared" si="15"/>
        <v>OK</v>
      </c>
      <c r="O125" s="204" t="str">
        <f t="shared" si="15"/>
        <v>OK</v>
      </c>
      <c r="P125" s="204" t="str">
        <f t="shared" si="15"/>
        <v>OK</v>
      </c>
      <c r="Q125" s="204" t="str">
        <f t="shared" si="15"/>
        <v>OK</v>
      </c>
      <c r="R125" s="204" t="str">
        <f t="shared" si="15"/>
        <v>OK</v>
      </c>
      <c r="S125" s="204" t="str">
        <f t="shared" si="15"/>
        <v>OK</v>
      </c>
      <c r="T125" s="204" t="str">
        <f t="shared" si="15"/>
        <v>OK</v>
      </c>
      <c r="U125" s="204" t="str">
        <f t="shared" si="15"/>
        <v>OK</v>
      </c>
      <c r="V125" s="204" t="str">
        <f t="shared" si="15"/>
        <v>OK</v>
      </c>
      <c r="W125" s="204" t="str">
        <f t="shared" si="15"/>
        <v>OK</v>
      </c>
      <c r="X125" s="204" t="str">
        <f t="shared" si="15"/>
        <v>OK</v>
      </c>
      <c r="Y125" s="204" t="str">
        <f t="shared" si="15"/>
        <v>OK</v>
      </c>
      <c r="Z125" s="204" t="str">
        <f t="shared" si="15"/>
        <v>OK</v>
      </c>
      <c r="AA125" s="204" t="str">
        <f t="shared" si="15"/>
        <v>OK</v>
      </c>
      <c r="AB125" s="204" t="str">
        <f t="shared" si="15"/>
        <v>OK</v>
      </c>
      <c r="AC125" s="204" t="str">
        <f t="shared" si="15"/>
        <v>OK</v>
      </c>
      <c r="AD125" s="204" t="str">
        <f t="shared" si="15"/>
        <v>OK</v>
      </c>
      <c r="AE125" s="204" t="str">
        <f t="shared" si="15"/>
        <v>OK</v>
      </c>
      <c r="AF125" s="204" t="str">
        <f t="shared" si="15"/>
        <v>OK</v>
      </c>
      <c r="AG125" s="204" t="str">
        <f t="shared" si="15"/>
        <v>OK</v>
      </c>
      <c r="AH125" s="204" t="str">
        <f t="shared" si="15"/>
        <v>OK</v>
      </c>
      <c r="AI125" s="204" t="str">
        <f t="shared" si="15"/>
        <v>OK</v>
      </c>
      <c r="AJ125" s="204" t="str">
        <f t="shared" si="15"/>
        <v>OK</v>
      </c>
      <c r="AK125" s="204" t="str">
        <f t="shared" si="15"/>
        <v>OK</v>
      </c>
      <c r="AL125" s="203" t="str">
        <f t="shared" si="15"/>
        <v>OK</v>
      </c>
    </row>
    <row r="126" spans="2:38" hidden="1" outlineLevel="2">
      <c r="B126" s="211" t="s">
        <v>133</v>
      </c>
      <c r="C126" s="210"/>
      <c r="D126" s="209" t="s">
        <v>132</v>
      </c>
      <c r="E126" s="208" t="s">
        <v>39</v>
      </c>
      <c r="F126" s="207" t="s">
        <v>39</v>
      </c>
      <c r="G126" s="207" t="s">
        <v>39</v>
      </c>
      <c r="H126" s="206" t="s">
        <v>39</v>
      </c>
      <c r="I126" s="205" t="str">
        <f t="shared" ref="I126:AL126" si="16">IF(I13&gt;=I14,"OK","BŁĄD")</f>
        <v>OK</v>
      </c>
      <c r="J126" s="204" t="str">
        <f t="shared" si="16"/>
        <v>OK</v>
      </c>
      <c r="K126" s="204" t="str">
        <f t="shared" si="16"/>
        <v>OK</v>
      </c>
      <c r="L126" s="204" t="str">
        <f t="shared" si="16"/>
        <v>OK</v>
      </c>
      <c r="M126" s="204" t="str">
        <f t="shared" si="16"/>
        <v>OK</v>
      </c>
      <c r="N126" s="204" t="str">
        <f t="shared" si="16"/>
        <v>OK</v>
      </c>
      <c r="O126" s="204" t="str">
        <f t="shared" si="16"/>
        <v>OK</v>
      </c>
      <c r="P126" s="204" t="str">
        <f t="shared" si="16"/>
        <v>OK</v>
      </c>
      <c r="Q126" s="204" t="str">
        <f t="shared" si="16"/>
        <v>OK</v>
      </c>
      <c r="R126" s="204" t="str">
        <f t="shared" si="16"/>
        <v>OK</v>
      </c>
      <c r="S126" s="204" t="str">
        <f t="shared" si="16"/>
        <v>OK</v>
      </c>
      <c r="T126" s="204" t="str">
        <f t="shared" si="16"/>
        <v>OK</v>
      </c>
      <c r="U126" s="204" t="str">
        <f t="shared" si="16"/>
        <v>OK</v>
      </c>
      <c r="V126" s="204" t="str">
        <f t="shared" si="16"/>
        <v>OK</v>
      </c>
      <c r="W126" s="204" t="str">
        <f t="shared" si="16"/>
        <v>OK</v>
      </c>
      <c r="X126" s="204" t="str">
        <f t="shared" si="16"/>
        <v>OK</v>
      </c>
      <c r="Y126" s="204" t="str">
        <f t="shared" si="16"/>
        <v>OK</v>
      </c>
      <c r="Z126" s="204" t="str">
        <f t="shared" si="16"/>
        <v>OK</v>
      </c>
      <c r="AA126" s="204" t="str">
        <f t="shared" si="16"/>
        <v>OK</v>
      </c>
      <c r="AB126" s="204" t="str">
        <f t="shared" si="16"/>
        <v>OK</v>
      </c>
      <c r="AC126" s="204" t="str">
        <f t="shared" si="16"/>
        <v>OK</v>
      </c>
      <c r="AD126" s="204" t="str">
        <f t="shared" si="16"/>
        <v>OK</v>
      </c>
      <c r="AE126" s="204" t="str">
        <f t="shared" si="16"/>
        <v>OK</v>
      </c>
      <c r="AF126" s="204" t="str">
        <f t="shared" si="16"/>
        <v>OK</v>
      </c>
      <c r="AG126" s="204" t="str">
        <f t="shared" si="16"/>
        <v>OK</v>
      </c>
      <c r="AH126" s="204" t="str">
        <f t="shared" si="16"/>
        <v>OK</v>
      </c>
      <c r="AI126" s="204" t="str">
        <f t="shared" si="16"/>
        <v>OK</v>
      </c>
      <c r="AJ126" s="204" t="str">
        <f t="shared" si="16"/>
        <v>OK</v>
      </c>
      <c r="AK126" s="204" t="str">
        <f t="shared" si="16"/>
        <v>OK</v>
      </c>
      <c r="AL126" s="203" t="str">
        <f t="shared" si="16"/>
        <v>OK</v>
      </c>
    </row>
    <row r="127" spans="2:38" hidden="1" outlineLevel="2">
      <c r="B127" s="211" t="s">
        <v>131</v>
      </c>
      <c r="C127" s="210"/>
      <c r="D127" s="209" t="s">
        <v>130</v>
      </c>
      <c r="E127" s="208" t="s">
        <v>39</v>
      </c>
      <c r="F127" s="207" t="s">
        <v>39</v>
      </c>
      <c r="G127" s="207" t="s">
        <v>39</v>
      </c>
      <c r="H127" s="206" t="s">
        <v>39</v>
      </c>
      <c r="I127" s="205" t="str">
        <f t="shared" ref="I127:AL127" si="17">IF(I13&gt;=I15,"OK","BŁĄD")</f>
        <v>OK</v>
      </c>
      <c r="J127" s="204" t="str">
        <f t="shared" si="17"/>
        <v>OK</v>
      </c>
      <c r="K127" s="204" t="str">
        <f t="shared" si="17"/>
        <v>OK</v>
      </c>
      <c r="L127" s="204" t="str">
        <f t="shared" si="17"/>
        <v>OK</v>
      </c>
      <c r="M127" s="204" t="str">
        <f t="shared" si="17"/>
        <v>OK</v>
      </c>
      <c r="N127" s="204" t="str">
        <f t="shared" si="17"/>
        <v>OK</v>
      </c>
      <c r="O127" s="204" t="str">
        <f t="shared" si="17"/>
        <v>OK</v>
      </c>
      <c r="P127" s="204" t="str">
        <f t="shared" si="17"/>
        <v>OK</v>
      </c>
      <c r="Q127" s="204" t="str">
        <f t="shared" si="17"/>
        <v>OK</v>
      </c>
      <c r="R127" s="204" t="str">
        <f t="shared" si="17"/>
        <v>OK</v>
      </c>
      <c r="S127" s="204" t="str">
        <f t="shared" si="17"/>
        <v>OK</v>
      </c>
      <c r="T127" s="204" t="str">
        <f t="shared" si="17"/>
        <v>OK</v>
      </c>
      <c r="U127" s="204" t="str">
        <f t="shared" si="17"/>
        <v>OK</v>
      </c>
      <c r="V127" s="204" t="str">
        <f t="shared" si="17"/>
        <v>OK</v>
      </c>
      <c r="W127" s="204" t="str">
        <f t="shared" si="17"/>
        <v>OK</v>
      </c>
      <c r="X127" s="204" t="str">
        <f t="shared" si="17"/>
        <v>OK</v>
      </c>
      <c r="Y127" s="204" t="str">
        <f t="shared" si="17"/>
        <v>OK</v>
      </c>
      <c r="Z127" s="204" t="str">
        <f t="shared" si="17"/>
        <v>OK</v>
      </c>
      <c r="AA127" s="204" t="str">
        <f t="shared" si="17"/>
        <v>OK</v>
      </c>
      <c r="AB127" s="204" t="str">
        <f t="shared" si="17"/>
        <v>OK</v>
      </c>
      <c r="AC127" s="204" t="str">
        <f t="shared" si="17"/>
        <v>OK</v>
      </c>
      <c r="AD127" s="204" t="str">
        <f t="shared" si="17"/>
        <v>OK</v>
      </c>
      <c r="AE127" s="204" t="str">
        <f t="shared" si="17"/>
        <v>OK</v>
      </c>
      <c r="AF127" s="204" t="str">
        <f t="shared" si="17"/>
        <v>OK</v>
      </c>
      <c r="AG127" s="204" t="str">
        <f t="shared" si="17"/>
        <v>OK</v>
      </c>
      <c r="AH127" s="204" t="str">
        <f t="shared" si="17"/>
        <v>OK</v>
      </c>
      <c r="AI127" s="204" t="str">
        <f t="shared" si="17"/>
        <v>OK</v>
      </c>
      <c r="AJ127" s="204" t="str">
        <f t="shared" si="17"/>
        <v>OK</v>
      </c>
      <c r="AK127" s="204" t="str">
        <f t="shared" si="17"/>
        <v>OK</v>
      </c>
      <c r="AL127" s="203" t="str">
        <f t="shared" si="17"/>
        <v>OK</v>
      </c>
    </row>
    <row r="128" spans="2:38" hidden="1" outlineLevel="2">
      <c r="B128" s="211" t="s">
        <v>129</v>
      </c>
      <c r="C128" s="210"/>
      <c r="D128" s="209" t="s">
        <v>128</v>
      </c>
      <c r="E128" s="208" t="s">
        <v>39</v>
      </c>
      <c r="F128" s="207" t="s">
        <v>39</v>
      </c>
      <c r="G128" s="207" t="s">
        <v>39</v>
      </c>
      <c r="H128" s="206" t="s">
        <v>39</v>
      </c>
      <c r="I128" s="205" t="str">
        <f t="shared" ref="I128:AL128" si="18">IF(I13&gt;=I75,"OK","BŁĄD")</f>
        <v>OK</v>
      </c>
      <c r="J128" s="204" t="str">
        <f t="shared" si="18"/>
        <v>OK</v>
      </c>
      <c r="K128" s="204" t="str">
        <f t="shared" si="18"/>
        <v>OK</v>
      </c>
      <c r="L128" s="204" t="str">
        <f t="shared" si="18"/>
        <v>OK</v>
      </c>
      <c r="M128" s="204" t="str">
        <f t="shared" si="18"/>
        <v>OK</v>
      </c>
      <c r="N128" s="204" t="str">
        <f t="shared" si="18"/>
        <v>OK</v>
      </c>
      <c r="O128" s="204" t="str">
        <f t="shared" si="18"/>
        <v>OK</v>
      </c>
      <c r="P128" s="204" t="str">
        <f t="shared" si="18"/>
        <v>OK</v>
      </c>
      <c r="Q128" s="204" t="str">
        <f t="shared" si="18"/>
        <v>OK</v>
      </c>
      <c r="R128" s="204" t="str">
        <f t="shared" si="18"/>
        <v>OK</v>
      </c>
      <c r="S128" s="204" t="str">
        <f t="shared" si="18"/>
        <v>OK</v>
      </c>
      <c r="T128" s="204" t="str">
        <f t="shared" si="18"/>
        <v>OK</v>
      </c>
      <c r="U128" s="204" t="str">
        <f t="shared" si="18"/>
        <v>OK</v>
      </c>
      <c r="V128" s="204" t="str">
        <f t="shared" si="18"/>
        <v>OK</v>
      </c>
      <c r="W128" s="204" t="str">
        <f t="shared" si="18"/>
        <v>OK</v>
      </c>
      <c r="X128" s="204" t="str">
        <f t="shared" si="18"/>
        <v>OK</v>
      </c>
      <c r="Y128" s="204" t="str">
        <f t="shared" si="18"/>
        <v>OK</v>
      </c>
      <c r="Z128" s="204" t="str">
        <f t="shared" si="18"/>
        <v>OK</v>
      </c>
      <c r="AA128" s="204" t="str">
        <f t="shared" si="18"/>
        <v>OK</v>
      </c>
      <c r="AB128" s="204" t="str">
        <f t="shared" si="18"/>
        <v>OK</v>
      </c>
      <c r="AC128" s="204" t="str">
        <f t="shared" si="18"/>
        <v>OK</v>
      </c>
      <c r="AD128" s="204" t="str">
        <f t="shared" si="18"/>
        <v>OK</v>
      </c>
      <c r="AE128" s="204" t="str">
        <f t="shared" si="18"/>
        <v>OK</v>
      </c>
      <c r="AF128" s="204" t="str">
        <f t="shared" si="18"/>
        <v>OK</v>
      </c>
      <c r="AG128" s="204" t="str">
        <f t="shared" si="18"/>
        <v>OK</v>
      </c>
      <c r="AH128" s="204" t="str">
        <f t="shared" si="18"/>
        <v>OK</v>
      </c>
      <c r="AI128" s="204" t="str">
        <f t="shared" si="18"/>
        <v>OK</v>
      </c>
      <c r="AJ128" s="204" t="str">
        <f t="shared" si="18"/>
        <v>OK</v>
      </c>
      <c r="AK128" s="204" t="str">
        <f t="shared" si="18"/>
        <v>OK</v>
      </c>
      <c r="AL128" s="203" t="str">
        <f t="shared" si="18"/>
        <v>OK</v>
      </c>
    </row>
    <row r="129" spans="2:38" hidden="1" outlineLevel="2">
      <c r="B129" s="211" t="s">
        <v>127</v>
      </c>
      <c r="C129" s="210"/>
      <c r="D129" s="209" t="s">
        <v>126</v>
      </c>
      <c r="E129" s="208" t="s">
        <v>39</v>
      </c>
      <c r="F129" s="207" t="s">
        <v>39</v>
      </c>
      <c r="G129" s="207" t="s">
        <v>39</v>
      </c>
      <c r="H129" s="206" t="s">
        <v>39</v>
      </c>
      <c r="I129" s="205" t="str">
        <f t="shared" ref="I129:AL129" si="19">IF(I60&gt;=I61,"OK","BŁĄD")</f>
        <v>OK</v>
      </c>
      <c r="J129" s="204" t="str">
        <f t="shared" si="19"/>
        <v>OK</v>
      </c>
      <c r="K129" s="204" t="str">
        <f t="shared" si="19"/>
        <v>OK</v>
      </c>
      <c r="L129" s="204" t="str">
        <f t="shared" si="19"/>
        <v>OK</v>
      </c>
      <c r="M129" s="204" t="str">
        <f t="shared" si="19"/>
        <v>OK</v>
      </c>
      <c r="N129" s="204" t="str">
        <f t="shared" si="19"/>
        <v>OK</v>
      </c>
      <c r="O129" s="204" t="str">
        <f t="shared" si="19"/>
        <v>OK</v>
      </c>
      <c r="P129" s="204" t="str">
        <f t="shared" si="19"/>
        <v>OK</v>
      </c>
      <c r="Q129" s="204" t="str">
        <f t="shared" si="19"/>
        <v>OK</v>
      </c>
      <c r="R129" s="204" t="str">
        <f t="shared" si="19"/>
        <v>OK</v>
      </c>
      <c r="S129" s="204" t="str">
        <f t="shared" si="19"/>
        <v>OK</v>
      </c>
      <c r="T129" s="204" t="str">
        <f t="shared" si="19"/>
        <v>OK</v>
      </c>
      <c r="U129" s="204" t="str">
        <f t="shared" si="19"/>
        <v>OK</v>
      </c>
      <c r="V129" s="204" t="str">
        <f t="shared" si="19"/>
        <v>OK</v>
      </c>
      <c r="W129" s="204" t="str">
        <f t="shared" si="19"/>
        <v>OK</v>
      </c>
      <c r="X129" s="204" t="str">
        <f t="shared" si="19"/>
        <v>OK</v>
      </c>
      <c r="Y129" s="204" t="str">
        <f t="shared" si="19"/>
        <v>OK</v>
      </c>
      <c r="Z129" s="204" t="str">
        <f t="shared" si="19"/>
        <v>OK</v>
      </c>
      <c r="AA129" s="204" t="str">
        <f t="shared" si="19"/>
        <v>OK</v>
      </c>
      <c r="AB129" s="204" t="str">
        <f t="shared" si="19"/>
        <v>OK</v>
      </c>
      <c r="AC129" s="204" t="str">
        <f t="shared" si="19"/>
        <v>OK</v>
      </c>
      <c r="AD129" s="204" t="str">
        <f t="shared" si="19"/>
        <v>OK</v>
      </c>
      <c r="AE129" s="204" t="str">
        <f t="shared" si="19"/>
        <v>OK</v>
      </c>
      <c r="AF129" s="204" t="str">
        <f t="shared" si="19"/>
        <v>OK</v>
      </c>
      <c r="AG129" s="204" t="str">
        <f t="shared" si="19"/>
        <v>OK</v>
      </c>
      <c r="AH129" s="204" t="str">
        <f t="shared" si="19"/>
        <v>OK</v>
      </c>
      <c r="AI129" s="204" t="str">
        <f t="shared" si="19"/>
        <v>OK</v>
      </c>
      <c r="AJ129" s="204" t="str">
        <f t="shared" si="19"/>
        <v>OK</v>
      </c>
      <c r="AK129" s="204" t="str">
        <f t="shared" si="19"/>
        <v>OK</v>
      </c>
      <c r="AL129" s="203" t="str">
        <f t="shared" si="19"/>
        <v>OK</v>
      </c>
    </row>
    <row r="130" spans="2:38" hidden="1" outlineLevel="2">
      <c r="B130" s="211" t="s">
        <v>125</v>
      </c>
      <c r="C130" s="210"/>
      <c r="D130" s="209" t="s">
        <v>124</v>
      </c>
      <c r="E130" s="208" t="s">
        <v>39</v>
      </c>
      <c r="F130" s="207" t="s">
        <v>39</v>
      </c>
      <c r="G130" s="207" t="s">
        <v>39</v>
      </c>
      <c r="H130" s="206" t="s">
        <v>39</v>
      </c>
      <c r="I130" s="205" t="str">
        <f t="shared" ref="I130:AL131" si="20">IF(I72&gt;=I73,"OK","BŁĄD")</f>
        <v>OK</v>
      </c>
      <c r="J130" s="204" t="str">
        <f t="shared" si="20"/>
        <v>OK</v>
      </c>
      <c r="K130" s="204" t="str">
        <f t="shared" si="20"/>
        <v>OK</v>
      </c>
      <c r="L130" s="204" t="str">
        <f t="shared" si="20"/>
        <v>OK</v>
      </c>
      <c r="M130" s="204" t="str">
        <f t="shared" si="20"/>
        <v>OK</v>
      </c>
      <c r="N130" s="204" t="str">
        <f t="shared" si="20"/>
        <v>OK</v>
      </c>
      <c r="O130" s="204" t="str">
        <f t="shared" si="20"/>
        <v>OK</v>
      </c>
      <c r="P130" s="204" t="str">
        <f t="shared" si="20"/>
        <v>OK</v>
      </c>
      <c r="Q130" s="204" t="str">
        <f t="shared" si="20"/>
        <v>OK</v>
      </c>
      <c r="R130" s="204" t="str">
        <f t="shared" si="20"/>
        <v>OK</v>
      </c>
      <c r="S130" s="204" t="str">
        <f t="shared" si="20"/>
        <v>OK</v>
      </c>
      <c r="T130" s="204" t="str">
        <f t="shared" si="20"/>
        <v>OK</v>
      </c>
      <c r="U130" s="204" t="str">
        <f t="shared" si="20"/>
        <v>OK</v>
      </c>
      <c r="V130" s="204" t="str">
        <f t="shared" si="20"/>
        <v>OK</v>
      </c>
      <c r="W130" s="204" t="str">
        <f t="shared" si="20"/>
        <v>OK</v>
      </c>
      <c r="X130" s="204" t="str">
        <f t="shared" si="20"/>
        <v>OK</v>
      </c>
      <c r="Y130" s="204" t="str">
        <f t="shared" si="20"/>
        <v>OK</v>
      </c>
      <c r="Z130" s="204" t="str">
        <f t="shared" si="20"/>
        <v>OK</v>
      </c>
      <c r="AA130" s="204" t="str">
        <f t="shared" si="20"/>
        <v>OK</v>
      </c>
      <c r="AB130" s="204" t="str">
        <f t="shared" si="20"/>
        <v>OK</v>
      </c>
      <c r="AC130" s="204" t="str">
        <f t="shared" si="20"/>
        <v>OK</v>
      </c>
      <c r="AD130" s="204" t="str">
        <f t="shared" si="20"/>
        <v>OK</v>
      </c>
      <c r="AE130" s="204" t="str">
        <f t="shared" si="20"/>
        <v>OK</v>
      </c>
      <c r="AF130" s="204" t="str">
        <f t="shared" si="20"/>
        <v>OK</v>
      </c>
      <c r="AG130" s="204" t="str">
        <f t="shared" si="20"/>
        <v>OK</v>
      </c>
      <c r="AH130" s="204" t="str">
        <f t="shared" si="20"/>
        <v>OK</v>
      </c>
      <c r="AI130" s="204" t="str">
        <f t="shared" si="20"/>
        <v>OK</v>
      </c>
      <c r="AJ130" s="204" t="str">
        <f t="shared" si="20"/>
        <v>OK</v>
      </c>
      <c r="AK130" s="204" t="str">
        <f t="shared" si="20"/>
        <v>OK</v>
      </c>
      <c r="AL130" s="203" t="str">
        <f t="shared" si="20"/>
        <v>OK</v>
      </c>
    </row>
    <row r="131" spans="2:38" hidden="1" outlineLevel="2">
      <c r="B131" s="211" t="s">
        <v>123</v>
      </c>
      <c r="C131" s="210"/>
      <c r="D131" s="209" t="s">
        <v>122</v>
      </c>
      <c r="E131" s="208" t="s">
        <v>39</v>
      </c>
      <c r="F131" s="207" t="s">
        <v>39</v>
      </c>
      <c r="G131" s="207" t="s">
        <v>39</v>
      </c>
      <c r="H131" s="206" t="s">
        <v>39</v>
      </c>
      <c r="I131" s="205" t="str">
        <f t="shared" si="20"/>
        <v>OK</v>
      </c>
      <c r="J131" s="204" t="str">
        <f t="shared" si="20"/>
        <v>OK</v>
      </c>
      <c r="K131" s="204" t="str">
        <f t="shared" si="20"/>
        <v>OK</v>
      </c>
      <c r="L131" s="204" t="str">
        <f t="shared" si="20"/>
        <v>OK</v>
      </c>
      <c r="M131" s="204" t="str">
        <f t="shared" si="20"/>
        <v>OK</v>
      </c>
      <c r="N131" s="204" t="str">
        <f t="shared" si="20"/>
        <v>OK</v>
      </c>
      <c r="O131" s="204" t="str">
        <f t="shared" si="20"/>
        <v>OK</v>
      </c>
      <c r="P131" s="204" t="str">
        <f t="shared" si="20"/>
        <v>OK</v>
      </c>
      <c r="Q131" s="204" t="str">
        <f t="shared" si="20"/>
        <v>OK</v>
      </c>
      <c r="R131" s="204" t="str">
        <f t="shared" si="20"/>
        <v>OK</v>
      </c>
      <c r="S131" s="204" t="str">
        <f t="shared" si="20"/>
        <v>OK</v>
      </c>
      <c r="T131" s="204" t="str">
        <f t="shared" si="20"/>
        <v>OK</v>
      </c>
      <c r="U131" s="204" t="str">
        <f t="shared" si="20"/>
        <v>OK</v>
      </c>
      <c r="V131" s="204" t="str">
        <f t="shared" si="20"/>
        <v>OK</v>
      </c>
      <c r="W131" s="204" t="str">
        <f t="shared" si="20"/>
        <v>OK</v>
      </c>
      <c r="X131" s="204" t="str">
        <f t="shared" si="20"/>
        <v>OK</v>
      </c>
      <c r="Y131" s="204" t="str">
        <f t="shared" si="20"/>
        <v>OK</v>
      </c>
      <c r="Z131" s="204" t="str">
        <f t="shared" si="20"/>
        <v>OK</v>
      </c>
      <c r="AA131" s="204" t="str">
        <f t="shared" si="20"/>
        <v>OK</v>
      </c>
      <c r="AB131" s="204" t="str">
        <f t="shared" si="20"/>
        <v>OK</v>
      </c>
      <c r="AC131" s="204" t="str">
        <f t="shared" si="20"/>
        <v>OK</v>
      </c>
      <c r="AD131" s="204" t="str">
        <f t="shared" si="20"/>
        <v>OK</v>
      </c>
      <c r="AE131" s="204" t="str">
        <f t="shared" si="20"/>
        <v>OK</v>
      </c>
      <c r="AF131" s="204" t="str">
        <f t="shared" si="20"/>
        <v>OK</v>
      </c>
      <c r="AG131" s="204" t="str">
        <f t="shared" si="20"/>
        <v>OK</v>
      </c>
      <c r="AH131" s="204" t="str">
        <f t="shared" si="20"/>
        <v>OK</v>
      </c>
      <c r="AI131" s="204" t="str">
        <f t="shared" si="20"/>
        <v>OK</v>
      </c>
      <c r="AJ131" s="204" t="str">
        <f t="shared" si="20"/>
        <v>OK</v>
      </c>
      <c r="AK131" s="204" t="str">
        <f t="shared" si="20"/>
        <v>OK</v>
      </c>
      <c r="AL131" s="203" t="str">
        <f t="shared" si="20"/>
        <v>OK</v>
      </c>
    </row>
    <row r="132" spans="2:38" hidden="1" outlineLevel="2">
      <c r="B132" s="211" t="s">
        <v>121</v>
      </c>
      <c r="C132" s="210"/>
      <c r="D132" s="209" t="s">
        <v>120</v>
      </c>
      <c r="E132" s="208" t="s">
        <v>39</v>
      </c>
      <c r="F132" s="207" t="s">
        <v>39</v>
      </c>
      <c r="G132" s="207" t="s">
        <v>39</v>
      </c>
      <c r="H132" s="206" t="s">
        <v>39</v>
      </c>
      <c r="I132" s="205" t="str">
        <f t="shared" ref="I132:AL133" si="21">IF(I75&gt;=I76,"OK","BŁĄD")</f>
        <v>OK</v>
      </c>
      <c r="J132" s="204" t="str">
        <f t="shared" si="21"/>
        <v>OK</v>
      </c>
      <c r="K132" s="204" t="str">
        <f t="shared" si="21"/>
        <v>OK</v>
      </c>
      <c r="L132" s="204" t="str">
        <f t="shared" si="21"/>
        <v>OK</v>
      </c>
      <c r="M132" s="204" t="str">
        <f t="shared" si="21"/>
        <v>OK</v>
      </c>
      <c r="N132" s="204" t="str">
        <f t="shared" si="21"/>
        <v>OK</v>
      </c>
      <c r="O132" s="204" t="str">
        <f t="shared" si="21"/>
        <v>OK</v>
      </c>
      <c r="P132" s="204" t="str">
        <f t="shared" si="21"/>
        <v>OK</v>
      </c>
      <c r="Q132" s="204" t="str">
        <f t="shared" si="21"/>
        <v>OK</v>
      </c>
      <c r="R132" s="204" t="str">
        <f t="shared" si="21"/>
        <v>OK</v>
      </c>
      <c r="S132" s="204" t="str">
        <f t="shared" si="21"/>
        <v>OK</v>
      </c>
      <c r="T132" s="204" t="str">
        <f t="shared" si="21"/>
        <v>OK</v>
      </c>
      <c r="U132" s="204" t="str">
        <f t="shared" si="21"/>
        <v>OK</v>
      </c>
      <c r="V132" s="204" t="str">
        <f t="shared" si="21"/>
        <v>OK</v>
      </c>
      <c r="W132" s="204" t="str">
        <f t="shared" si="21"/>
        <v>OK</v>
      </c>
      <c r="X132" s="204" t="str">
        <f t="shared" si="21"/>
        <v>OK</v>
      </c>
      <c r="Y132" s="204" t="str">
        <f t="shared" si="21"/>
        <v>OK</v>
      </c>
      <c r="Z132" s="204" t="str">
        <f t="shared" si="21"/>
        <v>OK</v>
      </c>
      <c r="AA132" s="204" t="str">
        <f t="shared" si="21"/>
        <v>OK</v>
      </c>
      <c r="AB132" s="204" t="str">
        <f t="shared" si="21"/>
        <v>OK</v>
      </c>
      <c r="AC132" s="204" t="str">
        <f t="shared" si="21"/>
        <v>OK</v>
      </c>
      <c r="AD132" s="204" t="str">
        <f t="shared" si="21"/>
        <v>OK</v>
      </c>
      <c r="AE132" s="204" t="str">
        <f t="shared" si="21"/>
        <v>OK</v>
      </c>
      <c r="AF132" s="204" t="str">
        <f t="shared" si="21"/>
        <v>OK</v>
      </c>
      <c r="AG132" s="204" t="str">
        <f t="shared" si="21"/>
        <v>OK</v>
      </c>
      <c r="AH132" s="204" t="str">
        <f t="shared" si="21"/>
        <v>OK</v>
      </c>
      <c r="AI132" s="204" t="str">
        <f t="shared" si="21"/>
        <v>OK</v>
      </c>
      <c r="AJ132" s="204" t="str">
        <f t="shared" si="21"/>
        <v>OK</v>
      </c>
      <c r="AK132" s="204" t="str">
        <f t="shared" si="21"/>
        <v>OK</v>
      </c>
      <c r="AL132" s="203" t="str">
        <f t="shared" si="21"/>
        <v>OK</v>
      </c>
    </row>
    <row r="133" spans="2:38" hidden="1" outlineLevel="2">
      <c r="B133" s="211" t="s">
        <v>119</v>
      </c>
      <c r="C133" s="210"/>
      <c r="D133" s="209" t="s">
        <v>118</v>
      </c>
      <c r="E133" s="208" t="s">
        <v>39</v>
      </c>
      <c r="F133" s="207" t="s">
        <v>39</v>
      </c>
      <c r="G133" s="207" t="s">
        <v>39</v>
      </c>
      <c r="H133" s="206" t="s">
        <v>39</v>
      </c>
      <c r="I133" s="205" t="str">
        <f t="shared" si="21"/>
        <v>OK</v>
      </c>
      <c r="J133" s="204" t="str">
        <f t="shared" si="21"/>
        <v>OK</v>
      </c>
      <c r="K133" s="204" t="str">
        <f t="shared" si="21"/>
        <v>OK</v>
      </c>
      <c r="L133" s="204" t="str">
        <f t="shared" si="21"/>
        <v>OK</v>
      </c>
      <c r="M133" s="204" t="str">
        <f t="shared" si="21"/>
        <v>OK</v>
      </c>
      <c r="N133" s="204" t="str">
        <f t="shared" si="21"/>
        <v>OK</v>
      </c>
      <c r="O133" s="204" t="str">
        <f t="shared" si="21"/>
        <v>OK</v>
      </c>
      <c r="P133" s="204" t="str">
        <f t="shared" si="21"/>
        <v>OK</v>
      </c>
      <c r="Q133" s="204" t="str">
        <f t="shared" si="21"/>
        <v>OK</v>
      </c>
      <c r="R133" s="204" t="str">
        <f t="shared" si="21"/>
        <v>OK</v>
      </c>
      <c r="S133" s="204" t="str">
        <f t="shared" si="21"/>
        <v>OK</v>
      </c>
      <c r="T133" s="204" t="str">
        <f t="shared" si="21"/>
        <v>OK</v>
      </c>
      <c r="U133" s="204" t="str">
        <f t="shared" si="21"/>
        <v>OK</v>
      </c>
      <c r="V133" s="204" t="str">
        <f t="shared" si="21"/>
        <v>OK</v>
      </c>
      <c r="W133" s="204" t="str">
        <f t="shared" si="21"/>
        <v>OK</v>
      </c>
      <c r="X133" s="204" t="str">
        <f t="shared" si="21"/>
        <v>OK</v>
      </c>
      <c r="Y133" s="204" t="str">
        <f t="shared" si="21"/>
        <v>OK</v>
      </c>
      <c r="Z133" s="204" t="str">
        <f t="shared" si="21"/>
        <v>OK</v>
      </c>
      <c r="AA133" s="204" t="str">
        <f t="shared" si="21"/>
        <v>OK</v>
      </c>
      <c r="AB133" s="204" t="str">
        <f t="shared" si="21"/>
        <v>OK</v>
      </c>
      <c r="AC133" s="204" t="str">
        <f t="shared" si="21"/>
        <v>OK</v>
      </c>
      <c r="AD133" s="204" t="str">
        <f t="shared" si="21"/>
        <v>OK</v>
      </c>
      <c r="AE133" s="204" t="str">
        <f t="shared" si="21"/>
        <v>OK</v>
      </c>
      <c r="AF133" s="204" t="str">
        <f t="shared" si="21"/>
        <v>OK</v>
      </c>
      <c r="AG133" s="204" t="str">
        <f t="shared" si="21"/>
        <v>OK</v>
      </c>
      <c r="AH133" s="204" t="str">
        <f t="shared" si="21"/>
        <v>OK</v>
      </c>
      <c r="AI133" s="204" t="str">
        <f t="shared" si="21"/>
        <v>OK</v>
      </c>
      <c r="AJ133" s="204" t="str">
        <f t="shared" si="21"/>
        <v>OK</v>
      </c>
      <c r="AK133" s="204" t="str">
        <f t="shared" si="21"/>
        <v>OK</v>
      </c>
      <c r="AL133" s="203" t="str">
        <f t="shared" si="21"/>
        <v>OK</v>
      </c>
    </row>
    <row r="134" spans="2:38" hidden="1" outlineLevel="2">
      <c r="B134" s="211" t="s">
        <v>117</v>
      </c>
      <c r="C134" s="210"/>
      <c r="D134" s="209" t="s">
        <v>116</v>
      </c>
      <c r="E134" s="208" t="s">
        <v>39</v>
      </c>
      <c r="F134" s="207" t="s">
        <v>39</v>
      </c>
      <c r="G134" s="207" t="s">
        <v>39</v>
      </c>
      <c r="H134" s="206" t="s">
        <v>39</v>
      </c>
      <c r="I134" s="205" t="str">
        <f t="shared" ref="I134:AL134" si="22">IF(I78&gt;=I79,"OK","BŁĄD")</f>
        <v>OK</v>
      </c>
      <c r="J134" s="204" t="str">
        <f t="shared" si="22"/>
        <v>OK</v>
      </c>
      <c r="K134" s="204" t="str">
        <f t="shared" si="22"/>
        <v>OK</v>
      </c>
      <c r="L134" s="204" t="str">
        <f t="shared" si="22"/>
        <v>OK</v>
      </c>
      <c r="M134" s="204" t="str">
        <f t="shared" si="22"/>
        <v>OK</v>
      </c>
      <c r="N134" s="204" t="str">
        <f t="shared" si="22"/>
        <v>OK</v>
      </c>
      <c r="O134" s="204" t="str">
        <f t="shared" si="22"/>
        <v>OK</v>
      </c>
      <c r="P134" s="204" t="str">
        <f t="shared" si="22"/>
        <v>OK</v>
      </c>
      <c r="Q134" s="204" t="str">
        <f t="shared" si="22"/>
        <v>OK</v>
      </c>
      <c r="R134" s="204" t="str">
        <f t="shared" si="22"/>
        <v>OK</v>
      </c>
      <c r="S134" s="204" t="str">
        <f t="shared" si="22"/>
        <v>OK</v>
      </c>
      <c r="T134" s="204" t="str">
        <f t="shared" si="22"/>
        <v>OK</v>
      </c>
      <c r="U134" s="204" t="str">
        <f t="shared" si="22"/>
        <v>OK</v>
      </c>
      <c r="V134" s="204" t="str">
        <f t="shared" si="22"/>
        <v>OK</v>
      </c>
      <c r="W134" s="204" t="str">
        <f t="shared" si="22"/>
        <v>OK</v>
      </c>
      <c r="X134" s="204" t="str">
        <f t="shared" si="22"/>
        <v>OK</v>
      </c>
      <c r="Y134" s="204" t="str">
        <f t="shared" si="22"/>
        <v>OK</v>
      </c>
      <c r="Z134" s="204" t="str">
        <f t="shared" si="22"/>
        <v>OK</v>
      </c>
      <c r="AA134" s="204" t="str">
        <f t="shared" si="22"/>
        <v>OK</v>
      </c>
      <c r="AB134" s="204" t="str">
        <f t="shared" si="22"/>
        <v>OK</v>
      </c>
      <c r="AC134" s="204" t="str">
        <f t="shared" si="22"/>
        <v>OK</v>
      </c>
      <c r="AD134" s="204" t="str">
        <f t="shared" si="22"/>
        <v>OK</v>
      </c>
      <c r="AE134" s="204" t="str">
        <f t="shared" si="22"/>
        <v>OK</v>
      </c>
      <c r="AF134" s="204" t="str">
        <f t="shared" si="22"/>
        <v>OK</v>
      </c>
      <c r="AG134" s="204" t="str">
        <f t="shared" si="22"/>
        <v>OK</v>
      </c>
      <c r="AH134" s="204" t="str">
        <f t="shared" si="22"/>
        <v>OK</v>
      </c>
      <c r="AI134" s="204" t="str">
        <f t="shared" si="22"/>
        <v>OK</v>
      </c>
      <c r="AJ134" s="204" t="str">
        <f t="shared" si="22"/>
        <v>OK</v>
      </c>
      <c r="AK134" s="204" t="str">
        <f t="shared" si="22"/>
        <v>OK</v>
      </c>
      <c r="AL134" s="203" t="str">
        <f t="shared" si="22"/>
        <v>OK</v>
      </c>
    </row>
    <row r="135" spans="2:38" hidden="1" outlineLevel="2">
      <c r="B135" s="211" t="s">
        <v>115</v>
      </c>
      <c r="C135" s="210"/>
      <c r="D135" s="209" t="s">
        <v>114</v>
      </c>
      <c r="E135" s="208" t="s">
        <v>39</v>
      </c>
      <c r="F135" s="207" t="s">
        <v>39</v>
      </c>
      <c r="G135" s="207" t="s">
        <v>39</v>
      </c>
      <c r="H135" s="206" t="s">
        <v>39</v>
      </c>
      <c r="I135" s="205" t="str">
        <f t="shared" ref="I135:AL135" si="23">IF(I78&gt;=I80,"OK","BŁĄD")</f>
        <v>OK</v>
      </c>
      <c r="J135" s="204" t="str">
        <f t="shared" si="23"/>
        <v>OK</v>
      </c>
      <c r="K135" s="204" t="str">
        <f t="shared" si="23"/>
        <v>OK</v>
      </c>
      <c r="L135" s="204" t="str">
        <f t="shared" si="23"/>
        <v>OK</v>
      </c>
      <c r="M135" s="204" t="str">
        <f t="shared" si="23"/>
        <v>OK</v>
      </c>
      <c r="N135" s="204" t="str">
        <f t="shared" si="23"/>
        <v>OK</v>
      </c>
      <c r="O135" s="204" t="str">
        <f t="shared" si="23"/>
        <v>OK</v>
      </c>
      <c r="P135" s="204" t="str">
        <f t="shared" si="23"/>
        <v>OK</v>
      </c>
      <c r="Q135" s="204" t="str">
        <f t="shared" si="23"/>
        <v>OK</v>
      </c>
      <c r="R135" s="204" t="str">
        <f t="shared" si="23"/>
        <v>OK</v>
      </c>
      <c r="S135" s="204" t="str">
        <f t="shared" si="23"/>
        <v>OK</v>
      </c>
      <c r="T135" s="204" t="str">
        <f t="shared" si="23"/>
        <v>OK</v>
      </c>
      <c r="U135" s="204" t="str">
        <f t="shared" si="23"/>
        <v>OK</v>
      </c>
      <c r="V135" s="204" t="str">
        <f t="shared" si="23"/>
        <v>OK</v>
      </c>
      <c r="W135" s="204" t="str">
        <f t="shared" si="23"/>
        <v>OK</v>
      </c>
      <c r="X135" s="204" t="str">
        <f t="shared" si="23"/>
        <v>OK</v>
      </c>
      <c r="Y135" s="204" t="str">
        <f t="shared" si="23"/>
        <v>OK</v>
      </c>
      <c r="Z135" s="204" t="str">
        <f t="shared" si="23"/>
        <v>OK</v>
      </c>
      <c r="AA135" s="204" t="str">
        <f t="shared" si="23"/>
        <v>OK</v>
      </c>
      <c r="AB135" s="204" t="str">
        <f t="shared" si="23"/>
        <v>OK</v>
      </c>
      <c r="AC135" s="204" t="str">
        <f t="shared" si="23"/>
        <v>OK</v>
      </c>
      <c r="AD135" s="204" t="str">
        <f t="shared" si="23"/>
        <v>OK</v>
      </c>
      <c r="AE135" s="204" t="str">
        <f t="shared" si="23"/>
        <v>OK</v>
      </c>
      <c r="AF135" s="204" t="str">
        <f t="shared" si="23"/>
        <v>OK</v>
      </c>
      <c r="AG135" s="204" t="str">
        <f t="shared" si="23"/>
        <v>OK</v>
      </c>
      <c r="AH135" s="204" t="str">
        <f t="shared" si="23"/>
        <v>OK</v>
      </c>
      <c r="AI135" s="204" t="str">
        <f t="shared" si="23"/>
        <v>OK</v>
      </c>
      <c r="AJ135" s="204" t="str">
        <f t="shared" si="23"/>
        <v>OK</v>
      </c>
      <c r="AK135" s="204" t="str">
        <f t="shared" si="23"/>
        <v>OK</v>
      </c>
      <c r="AL135" s="203" t="str">
        <f t="shared" si="23"/>
        <v>OK</v>
      </c>
    </row>
    <row r="136" spans="2:38" hidden="1" outlineLevel="2">
      <c r="B136" s="211" t="s">
        <v>113</v>
      </c>
      <c r="C136" s="210"/>
      <c r="D136" s="209" t="s">
        <v>112</v>
      </c>
      <c r="E136" s="208" t="s">
        <v>39</v>
      </c>
      <c r="F136" s="207" t="s">
        <v>39</v>
      </c>
      <c r="G136" s="207" t="s">
        <v>39</v>
      </c>
      <c r="H136" s="206" t="s">
        <v>39</v>
      </c>
      <c r="I136" s="205" t="str">
        <f t="shared" ref="I136:AL136" si="24">IF(I81&gt;=I82,"OK","BŁĄD")</f>
        <v>OK</v>
      </c>
      <c r="J136" s="204" t="str">
        <f t="shared" si="24"/>
        <v>OK</v>
      </c>
      <c r="K136" s="204" t="str">
        <f t="shared" si="24"/>
        <v>OK</v>
      </c>
      <c r="L136" s="204" t="str">
        <f t="shared" si="24"/>
        <v>OK</v>
      </c>
      <c r="M136" s="204" t="str">
        <f t="shared" si="24"/>
        <v>OK</v>
      </c>
      <c r="N136" s="204" t="str">
        <f t="shared" si="24"/>
        <v>OK</v>
      </c>
      <c r="O136" s="204" t="str">
        <f t="shared" si="24"/>
        <v>OK</v>
      </c>
      <c r="P136" s="204" t="str">
        <f t="shared" si="24"/>
        <v>OK</v>
      </c>
      <c r="Q136" s="204" t="str">
        <f t="shared" si="24"/>
        <v>OK</v>
      </c>
      <c r="R136" s="204" t="str">
        <f t="shared" si="24"/>
        <v>OK</v>
      </c>
      <c r="S136" s="204" t="str">
        <f t="shared" si="24"/>
        <v>OK</v>
      </c>
      <c r="T136" s="204" t="str">
        <f t="shared" si="24"/>
        <v>OK</v>
      </c>
      <c r="U136" s="204" t="str">
        <f t="shared" si="24"/>
        <v>OK</v>
      </c>
      <c r="V136" s="204" t="str">
        <f t="shared" si="24"/>
        <v>OK</v>
      </c>
      <c r="W136" s="204" t="str">
        <f t="shared" si="24"/>
        <v>OK</v>
      </c>
      <c r="X136" s="204" t="str">
        <f t="shared" si="24"/>
        <v>OK</v>
      </c>
      <c r="Y136" s="204" t="str">
        <f t="shared" si="24"/>
        <v>OK</v>
      </c>
      <c r="Z136" s="204" t="str">
        <f t="shared" si="24"/>
        <v>OK</v>
      </c>
      <c r="AA136" s="204" t="str">
        <f t="shared" si="24"/>
        <v>OK</v>
      </c>
      <c r="AB136" s="204" t="str">
        <f t="shared" si="24"/>
        <v>OK</v>
      </c>
      <c r="AC136" s="204" t="str">
        <f t="shared" si="24"/>
        <v>OK</v>
      </c>
      <c r="AD136" s="204" t="str">
        <f t="shared" si="24"/>
        <v>OK</v>
      </c>
      <c r="AE136" s="204" t="str">
        <f t="shared" si="24"/>
        <v>OK</v>
      </c>
      <c r="AF136" s="204" t="str">
        <f t="shared" si="24"/>
        <v>OK</v>
      </c>
      <c r="AG136" s="204" t="str">
        <f t="shared" si="24"/>
        <v>OK</v>
      </c>
      <c r="AH136" s="204" t="str">
        <f t="shared" si="24"/>
        <v>OK</v>
      </c>
      <c r="AI136" s="204" t="str">
        <f t="shared" si="24"/>
        <v>OK</v>
      </c>
      <c r="AJ136" s="204" t="str">
        <f t="shared" si="24"/>
        <v>OK</v>
      </c>
      <c r="AK136" s="204" t="str">
        <f t="shared" si="24"/>
        <v>OK</v>
      </c>
      <c r="AL136" s="203" t="str">
        <f t="shared" si="24"/>
        <v>OK</v>
      </c>
    </row>
    <row r="137" spans="2:38" hidden="1" outlineLevel="2">
      <c r="B137" s="211" t="s">
        <v>111</v>
      </c>
      <c r="C137" s="210"/>
      <c r="D137" s="209" t="s">
        <v>110</v>
      </c>
      <c r="E137" s="208" t="s">
        <v>39</v>
      </c>
      <c r="F137" s="207" t="s">
        <v>39</v>
      </c>
      <c r="G137" s="207" t="s">
        <v>39</v>
      </c>
      <c r="H137" s="206" t="s">
        <v>39</v>
      </c>
      <c r="I137" s="205" t="str">
        <f t="shared" ref="I137:AL137" si="25">IF(I81&gt;=I83,"OK","BŁĄD")</f>
        <v>OK</v>
      </c>
      <c r="J137" s="204" t="str">
        <f t="shared" si="25"/>
        <v>OK</v>
      </c>
      <c r="K137" s="204" t="str">
        <f t="shared" si="25"/>
        <v>OK</v>
      </c>
      <c r="L137" s="204" t="str">
        <f t="shared" si="25"/>
        <v>OK</v>
      </c>
      <c r="M137" s="204" t="str">
        <f t="shared" si="25"/>
        <v>OK</v>
      </c>
      <c r="N137" s="204" t="str">
        <f t="shared" si="25"/>
        <v>OK</v>
      </c>
      <c r="O137" s="204" t="str">
        <f t="shared" si="25"/>
        <v>OK</v>
      </c>
      <c r="P137" s="204" t="str">
        <f t="shared" si="25"/>
        <v>OK</v>
      </c>
      <c r="Q137" s="204" t="str">
        <f t="shared" si="25"/>
        <v>OK</v>
      </c>
      <c r="R137" s="204" t="str">
        <f t="shared" si="25"/>
        <v>OK</v>
      </c>
      <c r="S137" s="204" t="str">
        <f t="shared" si="25"/>
        <v>OK</v>
      </c>
      <c r="T137" s="204" t="str">
        <f t="shared" si="25"/>
        <v>OK</v>
      </c>
      <c r="U137" s="204" t="str">
        <f t="shared" si="25"/>
        <v>OK</v>
      </c>
      <c r="V137" s="204" t="str">
        <f t="shared" si="25"/>
        <v>OK</v>
      </c>
      <c r="W137" s="204" t="str">
        <f t="shared" si="25"/>
        <v>OK</v>
      </c>
      <c r="X137" s="204" t="str">
        <f t="shared" si="25"/>
        <v>OK</v>
      </c>
      <c r="Y137" s="204" t="str">
        <f t="shared" si="25"/>
        <v>OK</v>
      </c>
      <c r="Z137" s="204" t="str">
        <f t="shared" si="25"/>
        <v>OK</v>
      </c>
      <c r="AA137" s="204" t="str">
        <f t="shared" si="25"/>
        <v>OK</v>
      </c>
      <c r="AB137" s="204" t="str">
        <f t="shared" si="25"/>
        <v>OK</v>
      </c>
      <c r="AC137" s="204" t="str">
        <f t="shared" si="25"/>
        <v>OK</v>
      </c>
      <c r="AD137" s="204" t="str">
        <f t="shared" si="25"/>
        <v>OK</v>
      </c>
      <c r="AE137" s="204" t="str">
        <f t="shared" si="25"/>
        <v>OK</v>
      </c>
      <c r="AF137" s="204" t="str">
        <f t="shared" si="25"/>
        <v>OK</v>
      </c>
      <c r="AG137" s="204" t="str">
        <f t="shared" si="25"/>
        <v>OK</v>
      </c>
      <c r="AH137" s="204" t="str">
        <f t="shared" si="25"/>
        <v>OK</v>
      </c>
      <c r="AI137" s="204" t="str">
        <f t="shared" si="25"/>
        <v>OK</v>
      </c>
      <c r="AJ137" s="204" t="str">
        <f t="shared" si="25"/>
        <v>OK</v>
      </c>
      <c r="AK137" s="204" t="str">
        <f t="shared" si="25"/>
        <v>OK</v>
      </c>
      <c r="AL137" s="203" t="str">
        <f t="shared" si="25"/>
        <v>OK</v>
      </c>
    </row>
    <row r="138" spans="2:38" hidden="1" outlineLevel="2">
      <c r="B138" s="211" t="s">
        <v>109</v>
      </c>
      <c r="C138" s="210"/>
      <c r="D138" s="209" t="s">
        <v>108</v>
      </c>
      <c r="E138" s="208" t="s">
        <v>39</v>
      </c>
      <c r="F138" s="207" t="s">
        <v>39</v>
      </c>
      <c r="G138" s="207" t="s">
        <v>39</v>
      </c>
      <c r="H138" s="206" t="s">
        <v>39</v>
      </c>
      <c r="I138" s="205" t="str">
        <f t="shared" ref="I138:AL138" si="26">IF(I85&gt;=I87,"OK","BŁĄD")</f>
        <v>OK</v>
      </c>
      <c r="J138" s="204" t="str">
        <f t="shared" si="26"/>
        <v>OK</v>
      </c>
      <c r="K138" s="204" t="str">
        <f t="shared" si="26"/>
        <v>OK</v>
      </c>
      <c r="L138" s="204" t="str">
        <f t="shared" si="26"/>
        <v>OK</v>
      </c>
      <c r="M138" s="204" t="str">
        <f t="shared" si="26"/>
        <v>OK</v>
      </c>
      <c r="N138" s="204" t="str">
        <f t="shared" si="26"/>
        <v>OK</v>
      </c>
      <c r="O138" s="204" t="str">
        <f t="shared" si="26"/>
        <v>OK</v>
      </c>
      <c r="P138" s="204" t="str">
        <f t="shared" si="26"/>
        <v>OK</v>
      </c>
      <c r="Q138" s="204" t="str">
        <f t="shared" si="26"/>
        <v>OK</v>
      </c>
      <c r="R138" s="204" t="str">
        <f t="shared" si="26"/>
        <v>OK</v>
      </c>
      <c r="S138" s="204" t="str">
        <f t="shared" si="26"/>
        <v>OK</v>
      </c>
      <c r="T138" s="204" t="str">
        <f t="shared" si="26"/>
        <v>OK</v>
      </c>
      <c r="U138" s="204" t="str">
        <f t="shared" si="26"/>
        <v>OK</v>
      </c>
      <c r="V138" s="204" t="str">
        <f t="shared" si="26"/>
        <v>OK</v>
      </c>
      <c r="W138" s="204" t="str">
        <f t="shared" si="26"/>
        <v>OK</v>
      </c>
      <c r="X138" s="204" t="str">
        <f t="shared" si="26"/>
        <v>OK</v>
      </c>
      <c r="Y138" s="204" t="str">
        <f t="shared" si="26"/>
        <v>OK</v>
      </c>
      <c r="Z138" s="204" t="str">
        <f t="shared" si="26"/>
        <v>OK</v>
      </c>
      <c r="AA138" s="204" t="str">
        <f t="shared" si="26"/>
        <v>OK</v>
      </c>
      <c r="AB138" s="204" t="str">
        <f t="shared" si="26"/>
        <v>OK</v>
      </c>
      <c r="AC138" s="204" t="str">
        <f t="shared" si="26"/>
        <v>OK</v>
      </c>
      <c r="AD138" s="204" t="str">
        <f t="shared" si="26"/>
        <v>OK</v>
      </c>
      <c r="AE138" s="204" t="str">
        <f t="shared" si="26"/>
        <v>OK</v>
      </c>
      <c r="AF138" s="204" t="str">
        <f t="shared" si="26"/>
        <v>OK</v>
      </c>
      <c r="AG138" s="204" t="str">
        <f t="shared" si="26"/>
        <v>OK</v>
      </c>
      <c r="AH138" s="204" t="str">
        <f t="shared" si="26"/>
        <v>OK</v>
      </c>
      <c r="AI138" s="204" t="str">
        <f t="shared" si="26"/>
        <v>OK</v>
      </c>
      <c r="AJ138" s="204" t="str">
        <f t="shared" si="26"/>
        <v>OK</v>
      </c>
      <c r="AK138" s="204" t="str">
        <f t="shared" si="26"/>
        <v>OK</v>
      </c>
      <c r="AL138" s="203" t="str">
        <f t="shared" si="26"/>
        <v>OK</v>
      </c>
    </row>
    <row r="139" spans="2:38" hidden="1" outlineLevel="2">
      <c r="B139" s="211" t="s">
        <v>107</v>
      </c>
      <c r="C139" s="210"/>
      <c r="D139" s="209" t="s">
        <v>106</v>
      </c>
      <c r="E139" s="208" t="s">
        <v>39</v>
      </c>
      <c r="F139" s="207" t="s">
        <v>39</v>
      </c>
      <c r="G139" s="207" t="s">
        <v>39</v>
      </c>
      <c r="H139" s="206" t="s">
        <v>39</v>
      </c>
      <c r="I139" s="205" t="str">
        <f t="shared" ref="I139:AL139" si="27">IF(I88&gt;=I20,"OK","BŁĄD")</f>
        <v>OK</v>
      </c>
      <c r="J139" s="204" t="str">
        <f t="shared" si="27"/>
        <v>OK</v>
      </c>
      <c r="K139" s="204" t="str">
        <f t="shared" si="27"/>
        <v>OK</v>
      </c>
      <c r="L139" s="204" t="str">
        <f t="shared" si="27"/>
        <v>OK</v>
      </c>
      <c r="M139" s="204" t="str">
        <f t="shared" si="27"/>
        <v>OK</v>
      </c>
      <c r="N139" s="204" t="str">
        <f t="shared" si="27"/>
        <v>OK</v>
      </c>
      <c r="O139" s="204" t="str">
        <f t="shared" si="27"/>
        <v>OK</v>
      </c>
      <c r="P139" s="204" t="str">
        <f t="shared" si="27"/>
        <v>OK</v>
      </c>
      <c r="Q139" s="204" t="str">
        <f t="shared" si="27"/>
        <v>OK</v>
      </c>
      <c r="R139" s="204" t="str">
        <f t="shared" si="27"/>
        <v>OK</v>
      </c>
      <c r="S139" s="204" t="str">
        <f t="shared" si="27"/>
        <v>OK</v>
      </c>
      <c r="T139" s="204" t="str">
        <f t="shared" si="27"/>
        <v>OK</v>
      </c>
      <c r="U139" s="204" t="str">
        <f t="shared" si="27"/>
        <v>OK</v>
      </c>
      <c r="V139" s="204" t="str">
        <f t="shared" si="27"/>
        <v>OK</v>
      </c>
      <c r="W139" s="204" t="str">
        <f t="shared" si="27"/>
        <v>OK</v>
      </c>
      <c r="X139" s="204" t="str">
        <f t="shared" si="27"/>
        <v>OK</v>
      </c>
      <c r="Y139" s="204" t="str">
        <f t="shared" si="27"/>
        <v>OK</v>
      </c>
      <c r="Z139" s="204" t="str">
        <f t="shared" si="27"/>
        <v>OK</v>
      </c>
      <c r="AA139" s="204" t="str">
        <f t="shared" si="27"/>
        <v>OK</v>
      </c>
      <c r="AB139" s="204" t="str">
        <f t="shared" si="27"/>
        <v>OK</v>
      </c>
      <c r="AC139" s="204" t="str">
        <f t="shared" si="27"/>
        <v>OK</v>
      </c>
      <c r="AD139" s="204" t="str">
        <f t="shared" si="27"/>
        <v>OK</v>
      </c>
      <c r="AE139" s="204" t="str">
        <f t="shared" si="27"/>
        <v>OK</v>
      </c>
      <c r="AF139" s="204" t="str">
        <f t="shared" si="27"/>
        <v>OK</v>
      </c>
      <c r="AG139" s="204" t="str">
        <f t="shared" si="27"/>
        <v>OK</v>
      </c>
      <c r="AH139" s="204" t="str">
        <f t="shared" si="27"/>
        <v>OK</v>
      </c>
      <c r="AI139" s="204" t="str">
        <f t="shared" si="27"/>
        <v>OK</v>
      </c>
      <c r="AJ139" s="204" t="str">
        <f t="shared" si="27"/>
        <v>OK</v>
      </c>
      <c r="AK139" s="204" t="str">
        <f t="shared" si="27"/>
        <v>OK</v>
      </c>
      <c r="AL139" s="203" t="str">
        <f t="shared" si="27"/>
        <v>OK</v>
      </c>
    </row>
    <row r="140" spans="2:38" hidden="1" outlineLevel="2">
      <c r="B140" s="211" t="s">
        <v>105</v>
      </c>
      <c r="C140" s="210"/>
      <c r="D140" s="209" t="s">
        <v>104</v>
      </c>
      <c r="E140" s="208" t="s">
        <v>39</v>
      </c>
      <c r="F140" s="207" t="s">
        <v>39</v>
      </c>
      <c r="G140" s="207" t="s">
        <v>39</v>
      </c>
      <c r="H140" s="206" t="s">
        <v>39</v>
      </c>
      <c r="I140" s="205" t="str">
        <f t="shared" ref="I140:AL140" si="28">IF(I95&gt;=(I96+I97+I98),"OK","BŁĄD")</f>
        <v>OK</v>
      </c>
      <c r="J140" s="204" t="str">
        <f t="shared" si="28"/>
        <v>OK</v>
      </c>
      <c r="K140" s="204" t="str">
        <f t="shared" si="28"/>
        <v>OK</v>
      </c>
      <c r="L140" s="204" t="str">
        <f t="shared" si="28"/>
        <v>OK</v>
      </c>
      <c r="M140" s="204" t="str">
        <f t="shared" si="28"/>
        <v>OK</v>
      </c>
      <c r="N140" s="204" t="str">
        <f t="shared" si="28"/>
        <v>OK</v>
      </c>
      <c r="O140" s="204" t="str">
        <f t="shared" si="28"/>
        <v>OK</v>
      </c>
      <c r="P140" s="204" t="str">
        <f t="shared" si="28"/>
        <v>OK</v>
      </c>
      <c r="Q140" s="204" t="str">
        <f t="shared" si="28"/>
        <v>OK</v>
      </c>
      <c r="R140" s="204" t="str">
        <f t="shared" si="28"/>
        <v>OK</v>
      </c>
      <c r="S140" s="204" t="str">
        <f t="shared" si="28"/>
        <v>OK</v>
      </c>
      <c r="T140" s="204" t="str">
        <f t="shared" si="28"/>
        <v>OK</v>
      </c>
      <c r="U140" s="204" t="str">
        <f t="shared" si="28"/>
        <v>OK</v>
      </c>
      <c r="V140" s="204" t="str">
        <f t="shared" si="28"/>
        <v>OK</v>
      </c>
      <c r="W140" s="204" t="str">
        <f t="shared" si="28"/>
        <v>OK</v>
      </c>
      <c r="X140" s="204" t="str">
        <f t="shared" si="28"/>
        <v>OK</v>
      </c>
      <c r="Y140" s="204" t="str">
        <f t="shared" si="28"/>
        <v>OK</v>
      </c>
      <c r="Z140" s="204" t="str">
        <f t="shared" si="28"/>
        <v>OK</v>
      </c>
      <c r="AA140" s="204" t="str">
        <f t="shared" si="28"/>
        <v>OK</v>
      </c>
      <c r="AB140" s="204" t="str">
        <f t="shared" si="28"/>
        <v>OK</v>
      </c>
      <c r="AC140" s="204" t="str">
        <f t="shared" si="28"/>
        <v>OK</v>
      </c>
      <c r="AD140" s="204" t="str">
        <f t="shared" si="28"/>
        <v>OK</v>
      </c>
      <c r="AE140" s="204" t="str">
        <f t="shared" si="28"/>
        <v>OK</v>
      </c>
      <c r="AF140" s="204" t="str">
        <f t="shared" si="28"/>
        <v>OK</v>
      </c>
      <c r="AG140" s="204" t="str">
        <f t="shared" si="28"/>
        <v>OK</v>
      </c>
      <c r="AH140" s="204" t="str">
        <f t="shared" si="28"/>
        <v>OK</v>
      </c>
      <c r="AI140" s="204" t="str">
        <f t="shared" si="28"/>
        <v>OK</v>
      </c>
      <c r="AJ140" s="204" t="str">
        <f t="shared" si="28"/>
        <v>OK</v>
      </c>
      <c r="AK140" s="204" t="str">
        <f t="shared" si="28"/>
        <v>OK</v>
      </c>
      <c r="AL140" s="203" t="str">
        <f t="shared" si="28"/>
        <v>OK</v>
      </c>
    </row>
    <row r="141" spans="2:38" hidden="1" outlineLevel="2">
      <c r="B141" s="211" t="s">
        <v>103</v>
      </c>
      <c r="C141" s="210"/>
      <c r="D141" s="209" t="s">
        <v>102</v>
      </c>
      <c r="E141" s="208" t="s">
        <v>39</v>
      </c>
      <c r="F141" s="207" t="s">
        <v>39</v>
      </c>
      <c r="G141" s="207" t="s">
        <v>39</v>
      </c>
      <c r="H141" s="206" t="s">
        <v>39</v>
      </c>
      <c r="I141" s="205" t="str">
        <f t="shared" ref="I141:AL141" si="29">IF(I18&gt;=I19,"OK","BŁĄD")</f>
        <v>OK</v>
      </c>
      <c r="J141" s="204" t="str">
        <f t="shared" si="29"/>
        <v>OK</v>
      </c>
      <c r="K141" s="204" t="str">
        <f t="shared" si="29"/>
        <v>OK</v>
      </c>
      <c r="L141" s="204" t="str">
        <f t="shared" si="29"/>
        <v>OK</v>
      </c>
      <c r="M141" s="204" t="str">
        <f t="shared" si="29"/>
        <v>OK</v>
      </c>
      <c r="N141" s="204" t="str">
        <f t="shared" si="29"/>
        <v>OK</v>
      </c>
      <c r="O141" s="204" t="str">
        <f t="shared" si="29"/>
        <v>OK</v>
      </c>
      <c r="P141" s="204" t="str">
        <f t="shared" si="29"/>
        <v>OK</v>
      </c>
      <c r="Q141" s="204" t="str">
        <f t="shared" si="29"/>
        <v>OK</v>
      </c>
      <c r="R141" s="204" t="str">
        <f t="shared" si="29"/>
        <v>OK</v>
      </c>
      <c r="S141" s="204" t="str">
        <f t="shared" si="29"/>
        <v>OK</v>
      </c>
      <c r="T141" s="204" t="str">
        <f t="shared" si="29"/>
        <v>OK</v>
      </c>
      <c r="U141" s="204" t="str">
        <f t="shared" si="29"/>
        <v>OK</v>
      </c>
      <c r="V141" s="204" t="str">
        <f t="shared" si="29"/>
        <v>OK</v>
      </c>
      <c r="W141" s="204" t="str">
        <f t="shared" si="29"/>
        <v>OK</v>
      </c>
      <c r="X141" s="204" t="str">
        <f t="shared" si="29"/>
        <v>OK</v>
      </c>
      <c r="Y141" s="204" t="str">
        <f t="shared" si="29"/>
        <v>OK</v>
      </c>
      <c r="Z141" s="204" t="str">
        <f t="shared" si="29"/>
        <v>OK</v>
      </c>
      <c r="AA141" s="204" t="str">
        <f t="shared" si="29"/>
        <v>OK</v>
      </c>
      <c r="AB141" s="204" t="str">
        <f t="shared" si="29"/>
        <v>OK</v>
      </c>
      <c r="AC141" s="204" t="str">
        <f t="shared" si="29"/>
        <v>OK</v>
      </c>
      <c r="AD141" s="204" t="str">
        <f t="shared" si="29"/>
        <v>OK</v>
      </c>
      <c r="AE141" s="204" t="str">
        <f t="shared" si="29"/>
        <v>OK</v>
      </c>
      <c r="AF141" s="204" t="str">
        <f t="shared" si="29"/>
        <v>OK</v>
      </c>
      <c r="AG141" s="204" t="str">
        <f t="shared" si="29"/>
        <v>OK</v>
      </c>
      <c r="AH141" s="204" t="str">
        <f t="shared" si="29"/>
        <v>OK</v>
      </c>
      <c r="AI141" s="204" t="str">
        <f t="shared" si="29"/>
        <v>OK</v>
      </c>
      <c r="AJ141" s="204" t="str">
        <f t="shared" si="29"/>
        <v>OK</v>
      </c>
      <c r="AK141" s="204" t="str">
        <f t="shared" si="29"/>
        <v>OK</v>
      </c>
      <c r="AL141" s="203" t="str">
        <f t="shared" si="29"/>
        <v>OK</v>
      </c>
    </row>
    <row r="142" spans="2:38" hidden="1" outlineLevel="2">
      <c r="B142" s="211" t="s">
        <v>101</v>
      </c>
      <c r="C142" s="210"/>
      <c r="D142" s="209" t="s">
        <v>100</v>
      </c>
      <c r="E142" s="208" t="s">
        <v>39</v>
      </c>
      <c r="F142" s="207" t="s">
        <v>39</v>
      </c>
      <c r="G142" s="207" t="s">
        <v>39</v>
      </c>
      <c r="H142" s="206" t="s">
        <v>39</v>
      </c>
      <c r="I142" s="205" t="str">
        <f t="shared" ref="I142:AL142" si="30">IF(I18&gt;=I98,"OK","BŁĄD")</f>
        <v>OK</v>
      </c>
      <c r="J142" s="204" t="str">
        <f t="shared" si="30"/>
        <v>OK</v>
      </c>
      <c r="K142" s="204" t="str">
        <f t="shared" si="30"/>
        <v>OK</v>
      </c>
      <c r="L142" s="204" t="str">
        <f t="shared" si="30"/>
        <v>OK</v>
      </c>
      <c r="M142" s="204" t="str">
        <f t="shared" si="30"/>
        <v>OK</v>
      </c>
      <c r="N142" s="204" t="str">
        <f t="shared" si="30"/>
        <v>OK</v>
      </c>
      <c r="O142" s="204" t="str">
        <f t="shared" si="30"/>
        <v>OK</v>
      </c>
      <c r="P142" s="204" t="str">
        <f t="shared" si="30"/>
        <v>OK</v>
      </c>
      <c r="Q142" s="204" t="str">
        <f t="shared" si="30"/>
        <v>OK</v>
      </c>
      <c r="R142" s="204" t="str">
        <f t="shared" si="30"/>
        <v>OK</v>
      </c>
      <c r="S142" s="204" t="str">
        <f t="shared" si="30"/>
        <v>OK</v>
      </c>
      <c r="T142" s="204" t="str">
        <f t="shared" si="30"/>
        <v>OK</v>
      </c>
      <c r="U142" s="204" t="str">
        <f t="shared" si="30"/>
        <v>OK</v>
      </c>
      <c r="V142" s="204" t="str">
        <f t="shared" si="30"/>
        <v>OK</v>
      </c>
      <c r="W142" s="204" t="str">
        <f t="shared" si="30"/>
        <v>OK</v>
      </c>
      <c r="X142" s="204" t="str">
        <f t="shared" si="30"/>
        <v>OK</v>
      </c>
      <c r="Y142" s="204" t="str">
        <f t="shared" si="30"/>
        <v>OK</v>
      </c>
      <c r="Z142" s="204" t="str">
        <f t="shared" si="30"/>
        <v>OK</v>
      </c>
      <c r="AA142" s="204" t="str">
        <f t="shared" si="30"/>
        <v>OK</v>
      </c>
      <c r="AB142" s="204" t="str">
        <f t="shared" si="30"/>
        <v>OK</v>
      </c>
      <c r="AC142" s="204" t="str">
        <f t="shared" si="30"/>
        <v>OK</v>
      </c>
      <c r="AD142" s="204" t="str">
        <f t="shared" si="30"/>
        <v>OK</v>
      </c>
      <c r="AE142" s="204" t="str">
        <f t="shared" si="30"/>
        <v>OK</v>
      </c>
      <c r="AF142" s="204" t="str">
        <f t="shared" si="30"/>
        <v>OK</v>
      </c>
      <c r="AG142" s="204" t="str">
        <f t="shared" si="30"/>
        <v>OK</v>
      </c>
      <c r="AH142" s="204" t="str">
        <f t="shared" si="30"/>
        <v>OK</v>
      </c>
      <c r="AI142" s="204" t="str">
        <f t="shared" si="30"/>
        <v>OK</v>
      </c>
      <c r="AJ142" s="204" t="str">
        <f t="shared" si="30"/>
        <v>OK</v>
      </c>
      <c r="AK142" s="204" t="str">
        <f t="shared" si="30"/>
        <v>OK</v>
      </c>
      <c r="AL142" s="203" t="str">
        <f t="shared" si="30"/>
        <v>OK</v>
      </c>
    </row>
    <row r="143" spans="2:38" hidden="1" outlineLevel="2">
      <c r="B143" s="211" t="s">
        <v>99</v>
      </c>
      <c r="C143" s="210"/>
      <c r="D143" s="209" t="s">
        <v>98</v>
      </c>
      <c r="E143" s="208" t="s">
        <v>39</v>
      </c>
      <c r="F143" s="207" t="s">
        <v>39</v>
      </c>
      <c r="G143" s="207" t="s">
        <v>39</v>
      </c>
      <c r="H143" s="206" t="s">
        <v>39</v>
      </c>
      <c r="I143" s="205" t="str">
        <f t="shared" ref="I143:AL143" si="31">IF(I21&gt;=I22,"OK","BŁĄD")</f>
        <v>OK</v>
      </c>
      <c r="J143" s="204" t="str">
        <f t="shared" si="31"/>
        <v>OK</v>
      </c>
      <c r="K143" s="204" t="str">
        <f t="shared" si="31"/>
        <v>OK</v>
      </c>
      <c r="L143" s="204" t="str">
        <f t="shared" si="31"/>
        <v>OK</v>
      </c>
      <c r="M143" s="204" t="str">
        <f t="shared" si="31"/>
        <v>OK</v>
      </c>
      <c r="N143" s="204" t="str">
        <f t="shared" si="31"/>
        <v>OK</v>
      </c>
      <c r="O143" s="204" t="str">
        <f t="shared" si="31"/>
        <v>OK</v>
      </c>
      <c r="P143" s="204" t="str">
        <f t="shared" si="31"/>
        <v>OK</v>
      </c>
      <c r="Q143" s="204" t="str">
        <f t="shared" si="31"/>
        <v>OK</v>
      </c>
      <c r="R143" s="204" t="str">
        <f t="shared" si="31"/>
        <v>OK</v>
      </c>
      <c r="S143" s="204" t="str">
        <f t="shared" si="31"/>
        <v>OK</v>
      </c>
      <c r="T143" s="204" t="str">
        <f t="shared" si="31"/>
        <v>OK</v>
      </c>
      <c r="U143" s="204" t="str">
        <f t="shared" si="31"/>
        <v>OK</v>
      </c>
      <c r="V143" s="204" t="str">
        <f t="shared" si="31"/>
        <v>OK</v>
      </c>
      <c r="W143" s="204" t="str">
        <f t="shared" si="31"/>
        <v>OK</v>
      </c>
      <c r="X143" s="204" t="str">
        <f t="shared" si="31"/>
        <v>OK</v>
      </c>
      <c r="Y143" s="204" t="str">
        <f t="shared" si="31"/>
        <v>OK</v>
      </c>
      <c r="Z143" s="204" t="str">
        <f t="shared" si="31"/>
        <v>OK</v>
      </c>
      <c r="AA143" s="204" t="str">
        <f t="shared" si="31"/>
        <v>OK</v>
      </c>
      <c r="AB143" s="204" t="str">
        <f t="shared" si="31"/>
        <v>OK</v>
      </c>
      <c r="AC143" s="204" t="str">
        <f t="shared" si="31"/>
        <v>OK</v>
      </c>
      <c r="AD143" s="204" t="str">
        <f t="shared" si="31"/>
        <v>OK</v>
      </c>
      <c r="AE143" s="204" t="str">
        <f t="shared" si="31"/>
        <v>OK</v>
      </c>
      <c r="AF143" s="204" t="str">
        <f t="shared" si="31"/>
        <v>OK</v>
      </c>
      <c r="AG143" s="204" t="str">
        <f t="shared" si="31"/>
        <v>OK</v>
      </c>
      <c r="AH143" s="204" t="str">
        <f t="shared" si="31"/>
        <v>OK</v>
      </c>
      <c r="AI143" s="204" t="str">
        <f t="shared" si="31"/>
        <v>OK</v>
      </c>
      <c r="AJ143" s="204" t="str">
        <f t="shared" si="31"/>
        <v>OK</v>
      </c>
      <c r="AK143" s="204" t="str">
        <f t="shared" si="31"/>
        <v>OK</v>
      </c>
      <c r="AL143" s="203" t="str">
        <f t="shared" si="31"/>
        <v>OK</v>
      </c>
    </row>
    <row r="144" spans="2:38" hidden="1" outlineLevel="2">
      <c r="B144" s="211" t="s">
        <v>97</v>
      </c>
      <c r="C144" s="210"/>
      <c r="D144" s="209" t="s">
        <v>96</v>
      </c>
      <c r="E144" s="208" t="s">
        <v>39</v>
      </c>
      <c r="F144" s="207" t="s">
        <v>39</v>
      </c>
      <c r="G144" s="207" t="s">
        <v>39</v>
      </c>
      <c r="H144" s="206" t="s">
        <v>39</v>
      </c>
      <c r="I144" s="205" t="str">
        <f t="shared" ref="I144:AL144" si="32">IF(I17&gt;=(I18+I20+I21),"OK","BŁĄD")</f>
        <v>OK</v>
      </c>
      <c r="J144" s="204" t="str">
        <f t="shared" si="32"/>
        <v>OK</v>
      </c>
      <c r="K144" s="204" t="str">
        <f t="shared" si="32"/>
        <v>OK</v>
      </c>
      <c r="L144" s="204" t="str">
        <f t="shared" si="32"/>
        <v>OK</v>
      </c>
      <c r="M144" s="204" t="str">
        <f t="shared" si="32"/>
        <v>OK</v>
      </c>
      <c r="N144" s="204" t="str">
        <f t="shared" si="32"/>
        <v>OK</v>
      </c>
      <c r="O144" s="204" t="str">
        <f t="shared" si="32"/>
        <v>OK</v>
      </c>
      <c r="P144" s="204" t="str">
        <f t="shared" si="32"/>
        <v>OK</v>
      </c>
      <c r="Q144" s="204" t="str">
        <f t="shared" si="32"/>
        <v>OK</v>
      </c>
      <c r="R144" s="204" t="str">
        <f t="shared" si="32"/>
        <v>OK</v>
      </c>
      <c r="S144" s="204" t="str">
        <f t="shared" si="32"/>
        <v>OK</v>
      </c>
      <c r="T144" s="204" t="str">
        <f t="shared" si="32"/>
        <v>OK</v>
      </c>
      <c r="U144" s="204" t="str">
        <f t="shared" si="32"/>
        <v>OK</v>
      </c>
      <c r="V144" s="204" t="str">
        <f t="shared" si="32"/>
        <v>OK</v>
      </c>
      <c r="W144" s="204" t="str">
        <f t="shared" si="32"/>
        <v>OK</v>
      </c>
      <c r="X144" s="204" t="str">
        <f t="shared" si="32"/>
        <v>OK</v>
      </c>
      <c r="Y144" s="204" t="str">
        <f t="shared" si="32"/>
        <v>OK</v>
      </c>
      <c r="Z144" s="204" t="str">
        <f t="shared" si="32"/>
        <v>OK</v>
      </c>
      <c r="AA144" s="204" t="str">
        <f t="shared" si="32"/>
        <v>OK</v>
      </c>
      <c r="AB144" s="204" t="str">
        <f t="shared" si="32"/>
        <v>OK</v>
      </c>
      <c r="AC144" s="204" t="str">
        <f t="shared" si="32"/>
        <v>OK</v>
      </c>
      <c r="AD144" s="204" t="str">
        <f t="shared" si="32"/>
        <v>OK</v>
      </c>
      <c r="AE144" s="204" t="str">
        <f t="shared" si="32"/>
        <v>OK</v>
      </c>
      <c r="AF144" s="204" t="str">
        <f t="shared" si="32"/>
        <v>OK</v>
      </c>
      <c r="AG144" s="204" t="str">
        <f t="shared" si="32"/>
        <v>OK</v>
      </c>
      <c r="AH144" s="204" t="str">
        <f t="shared" si="32"/>
        <v>OK</v>
      </c>
      <c r="AI144" s="204" t="str">
        <f t="shared" si="32"/>
        <v>OK</v>
      </c>
      <c r="AJ144" s="204" t="str">
        <f t="shared" si="32"/>
        <v>OK</v>
      </c>
      <c r="AK144" s="204" t="str">
        <f t="shared" si="32"/>
        <v>OK</v>
      </c>
      <c r="AL144" s="203" t="str">
        <f t="shared" si="32"/>
        <v>OK</v>
      </c>
    </row>
    <row r="145" spans="2:38" hidden="1" outlineLevel="2">
      <c r="B145" s="211" t="s">
        <v>95</v>
      </c>
      <c r="C145" s="210"/>
      <c r="D145" s="209" t="s">
        <v>94</v>
      </c>
      <c r="E145" s="208" t="s">
        <v>39</v>
      </c>
      <c r="F145" s="207" t="s">
        <v>39</v>
      </c>
      <c r="G145" s="207" t="s">
        <v>39</v>
      </c>
      <c r="H145" s="206" t="s">
        <v>39</v>
      </c>
      <c r="I145" s="205" t="str">
        <f t="shared" ref="I145:AL145" si="33">IF(I17&gt;=I63,"OK","BŁĄD")</f>
        <v>OK</v>
      </c>
      <c r="J145" s="204" t="str">
        <f t="shared" si="33"/>
        <v>OK</v>
      </c>
      <c r="K145" s="204" t="str">
        <f t="shared" si="33"/>
        <v>OK</v>
      </c>
      <c r="L145" s="204" t="str">
        <f t="shared" si="33"/>
        <v>OK</v>
      </c>
      <c r="M145" s="204" t="str">
        <f t="shared" si="33"/>
        <v>OK</v>
      </c>
      <c r="N145" s="204" t="str">
        <f t="shared" si="33"/>
        <v>OK</v>
      </c>
      <c r="O145" s="204" t="str">
        <f t="shared" si="33"/>
        <v>OK</v>
      </c>
      <c r="P145" s="204" t="str">
        <f t="shared" si="33"/>
        <v>OK</v>
      </c>
      <c r="Q145" s="204" t="str">
        <f t="shared" si="33"/>
        <v>OK</v>
      </c>
      <c r="R145" s="204" t="str">
        <f t="shared" si="33"/>
        <v>OK</v>
      </c>
      <c r="S145" s="204" t="str">
        <f t="shared" si="33"/>
        <v>OK</v>
      </c>
      <c r="T145" s="204" t="str">
        <f t="shared" si="33"/>
        <v>OK</v>
      </c>
      <c r="U145" s="204" t="str">
        <f t="shared" si="33"/>
        <v>OK</v>
      </c>
      <c r="V145" s="204" t="str">
        <f t="shared" si="33"/>
        <v>OK</v>
      </c>
      <c r="W145" s="204" t="str">
        <f t="shared" si="33"/>
        <v>OK</v>
      </c>
      <c r="X145" s="204" t="str">
        <f t="shared" si="33"/>
        <v>OK</v>
      </c>
      <c r="Y145" s="204" t="str">
        <f t="shared" si="33"/>
        <v>OK</v>
      </c>
      <c r="Z145" s="204" t="str">
        <f t="shared" si="33"/>
        <v>OK</v>
      </c>
      <c r="AA145" s="204" t="str">
        <f t="shared" si="33"/>
        <v>OK</v>
      </c>
      <c r="AB145" s="204" t="str">
        <f t="shared" si="33"/>
        <v>OK</v>
      </c>
      <c r="AC145" s="204" t="str">
        <f t="shared" si="33"/>
        <v>OK</v>
      </c>
      <c r="AD145" s="204" t="str">
        <f t="shared" si="33"/>
        <v>OK</v>
      </c>
      <c r="AE145" s="204" t="str">
        <f t="shared" si="33"/>
        <v>OK</v>
      </c>
      <c r="AF145" s="204" t="str">
        <f t="shared" si="33"/>
        <v>OK</v>
      </c>
      <c r="AG145" s="204" t="str">
        <f t="shared" si="33"/>
        <v>OK</v>
      </c>
      <c r="AH145" s="204" t="str">
        <f t="shared" si="33"/>
        <v>OK</v>
      </c>
      <c r="AI145" s="204" t="str">
        <f t="shared" si="33"/>
        <v>OK</v>
      </c>
      <c r="AJ145" s="204" t="str">
        <f t="shared" si="33"/>
        <v>OK</v>
      </c>
      <c r="AK145" s="204" t="str">
        <f t="shared" si="33"/>
        <v>OK</v>
      </c>
      <c r="AL145" s="203" t="str">
        <f t="shared" si="33"/>
        <v>OK</v>
      </c>
    </row>
    <row r="146" spans="2:38" hidden="1" outlineLevel="2">
      <c r="B146" s="211" t="s">
        <v>93</v>
      </c>
      <c r="C146" s="210"/>
      <c r="D146" s="209" t="s">
        <v>92</v>
      </c>
      <c r="E146" s="208" t="s">
        <v>39</v>
      </c>
      <c r="F146" s="207" t="s">
        <v>39</v>
      </c>
      <c r="G146" s="207" t="s">
        <v>39</v>
      </c>
      <c r="H146" s="206" t="s">
        <v>39</v>
      </c>
      <c r="I146" s="205" t="str">
        <f t="shared" ref="I146:AL146" si="34">IF(I17&gt;=I66,"OK","BŁĄD")</f>
        <v>OK</v>
      </c>
      <c r="J146" s="204" t="str">
        <f t="shared" si="34"/>
        <v>OK</v>
      </c>
      <c r="K146" s="204" t="str">
        <f t="shared" si="34"/>
        <v>OK</v>
      </c>
      <c r="L146" s="204" t="str">
        <f t="shared" si="34"/>
        <v>OK</v>
      </c>
      <c r="M146" s="204" t="str">
        <f t="shared" si="34"/>
        <v>OK</v>
      </c>
      <c r="N146" s="204" t="str">
        <f t="shared" si="34"/>
        <v>OK</v>
      </c>
      <c r="O146" s="204" t="str">
        <f t="shared" si="34"/>
        <v>OK</v>
      </c>
      <c r="P146" s="204" t="str">
        <f t="shared" si="34"/>
        <v>OK</v>
      </c>
      <c r="Q146" s="204" t="str">
        <f t="shared" si="34"/>
        <v>OK</v>
      </c>
      <c r="R146" s="204" t="str">
        <f t="shared" si="34"/>
        <v>OK</v>
      </c>
      <c r="S146" s="204" t="str">
        <f t="shared" si="34"/>
        <v>OK</v>
      </c>
      <c r="T146" s="204" t="str">
        <f t="shared" si="34"/>
        <v>OK</v>
      </c>
      <c r="U146" s="204" t="str">
        <f t="shared" si="34"/>
        <v>OK</v>
      </c>
      <c r="V146" s="204" t="str">
        <f t="shared" si="34"/>
        <v>OK</v>
      </c>
      <c r="W146" s="204" t="str">
        <f t="shared" si="34"/>
        <v>OK</v>
      </c>
      <c r="X146" s="204" t="str">
        <f t="shared" si="34"/>
        <v>OK</v>
      </c>
      <c r="Y146" s="204" t="str">
        <f t="shared" si="34"/>
        <v>OK</v>
      </c>
      <c r="Z146" s="204" t="str">
        <f t="shared" si="34"/>
        <v>OK</v>
      </c>
      <c r="AA146" s="204" t="str">
        <f t="shared" si="34"/>
        <v>OK</v>
      </c>
      <c r="AB146" s="204" t="str">
        <f t="shared" si="34"/>
        <v>OK</v>
      </c>
      <c r="AC146" s="204" t="str">
        <f t="shared" si="34"/>
        <v>OK</v>
      </c>
      <c r="AD146" s="204" t="str">
        <f t="shared" si="34"/>
        <v>OK</v>
      </c>
      <c r="AE146" s="204" t="str">
        <f t="shared" si="34"/>
        <v>OK</v>
      </c>
      <c r="AF146" s="204" t="str">
        <f t="shared" si="34"/>
        <v>OK</v>
      </c>
      <c r="AG146" s="204" t="str">
        <f t="shared" si="34"/>
        <v>OK</v>
      </c>
      <c r="AH146" s="204" t="str">
        <f t="shared" si="34"/>
        <v>OK</v>
      </c>
      <c r="AI146" s="204" t="str">
        <f t="shared" si="34"/>
        <v>OK</v>
      </c>
      <c r="AJ146" s="204" t="str">
        <f t="shared" si="34"/>
        <v>OK</v>
      </c>
      <c r="AK146" s="204" t="str">
        <f t="shared" si="34"/>
        <v>OK</v>
      </c>
      <c r="AL146" s="203" t="str">
        <f t="shared" si="34"/>
        <v>OK</v>
      </c>
    </row>
    <row r="147" spans="2:38" hidden="1" outlineLevel="2">
      <c r="B147" s="211" t="s">
        <v>91</v>
      </c>
      <c r="C147" s="210"/>
      <c r="D147" s="209" t="s">
        <v>90</v>
      </c>
      <c r="E147" s="208" t="s">
        <v>39</v>
      </c>
      <c r="F147" s="207" t="s">
        <v>39</v>
      </c>
      <c r="G147" s="207" t="s">
        <v>39</v>
      </c>
      <c r="H147" s="206" t="s">
        <v>39</v>
      </c>
      <c r="I147" s="205" t="str">
        <f t="shared" ref="I147:AL147" si="35">IF(I17&gt;=I78,"OK","BŁĄD")</f>
        <v>OK</v>
      </c>
      <c r="J147" s="204" t="str">
        <f t="shared" si="35"/>
        <v>OK</v>
      </c>
      <c r="K147" s="204" t="str">
        <f t="shared" si="35"/>
        <v>OK</v>
      </c>
      <c r="L147" s="204" t="str">
        <f t="shared" si="35"/>
        <v>OK</v>
      </c>
      <c r="M147" s="204" t="str">
        <f t="shared" si="35"/>
        <v>OK</v>
      </c>
      <c r="N147" s="204" t="str">
        <f t="shared" si="35"/>
        <v>OK</v>
      </c>
      <c r="O147" s="204" t="str">
        <f t="shared" si="35"/>
        <v>OK</v>
      </c>
      <c r="P147" s="204" t="str">
        <f t="shared" si="35"/>
        <v>OK</v>
      </c>
      <c r="Q147" s="204" t="str">
        <f t="shared" si="35"/>
        <v>OK</v>
      </c>
      <c r="R147" s="204" t="str">
        <f t="shared" si="35"/>
        <v>OK</v>
      </c>
      <c r="S147" s="204" t="str">
        <f t="shared" si="35"/>
        <v>OK</v>
      </c>
      <c r="T147" s="204" t="str">
        <f t="shared" si="35"/>
        <v>OK</v>
      </c>
      <c r="U147" s="204" t="str">
        <f t="shared" si="35"/>
        <v>OK</v>
      </c>
      <c r="V147" s="204" t="str">
        <f t="shared" si="35"/>
        <v>OK</v>
      </c>
      <c r="W147" s="204" t="str">
        <f t="shared" si="35"/>
        <v>OK</v>
      </c>
      <c r="X147" s="204" t="str">
        <f t="shared" si="35"/>
        <v>OK</v>
      </c>
      <c r="Y147" s="204" t="str">
        <f t="shared" si="35"/>
        <v>OK</v>
      </c>
      <c r="Z147" s="204" t="str">
        <f t="shared" si="35"/>
        <v>OK</v>
      </c>
      <c r="AA147" s="204" t="str">
        <f t="shared" si="35"/>
        <v>OK</v>
      </c>
      <c r="AB147" s="204" t="str">
        <f t="shared" si="35"/>
        <v>OK</v>
      </c>
      <c r="AC147" s="204" t="str">
        <f t="shared" si="35"/>
        <v>OK</v>
      </c>
      <c r="AD147" s="204" t="str">
        <f t="shared" si="35"/>
        <v>OK</v>
      </c>
      <c r="AE147" s="204" t="str">
        <f t="shared" si="35"/>
        <v>OK</v>
      </c>
      <c r="AF147" s="204" t="str">
        <f t="shared" si="35"/>
        <v>OK</v>
      </c>
      <c r="AG147" s="204" t="str">
        <f t="shared" si="35"/>
        <v>OK</v>
      </c>
      <c r="AH147" s="204" t="str">
        <f t="shared" si="35"/>
        <v>OK</v>
      </c>
      <c r="AI147" s="204" t="str">
        <f t="shared" si="35"/>
        <v>OK</v>
      </c>
      <c r="AJ147" s="204" t="str">
        <f t="shared" si="35"/>
        <v>OK</v>
      </c>
      <c r="AK147" s="204" t="str">
        <f t="shared" si="35"/>
        <v>OK</v>
      </c>
      <c r="AL147" s="203" t="str">
        <f t="shared" si="35"/>
        <v>OK</v>
      </c>
    </row>
    <row r="148" spans="2:38" hidden="1" outlineLevel="2">
      <c r="B148" s="211" t="s">
        <v>89</v>
      </c>
      <c r="C148" s="210"/>
      <c r="D148" s="209" t="s">
        <v>88</v>
      </c>
      <c r="E148" s="208" t="s">
        <v>39</v>
      </c>
      <c r="F148" s="207" t="s">
        <v>39</v>
      </c>
      <c r="G148" s="207" t="s">
        <v>39</v>
      </c>
      <c r="H148" s="206" t="s">
        <v>39</v>
      </c>
      <c r="I148" s="205" t="str">
        <f t="shared" ref="I148:AL148" si="36">IF(I17&gt;=I91,"OK","BŁĄD")</f>
        <v>OK</v>
      </c>
      <c r="J148" s="204" t="str">
        <f t="shared" si="36"/>
        <v>OK</v>
      </c>
      <c r="K148" s="204" t="str">
        <f t="shared" si="36"/>
        <v>OK</v>
      </c>
      <c r="L148" s="204" t="str">
        <f t="shared" si="36"/>
        <v>OK</v>
      </c>
      <c r="M148" s="204" t="str">
        <f t="shared" si="36"/>
        <v>OK</v>
      </c>
      <c r="N148" s="204" t="str">
        <f t="shared" si="36"/>
        <v>OK</v>
      </c>
      <c r="O148" s="204" t="str">
        <f t="shared" si="36"/>
        <v>OK</v>
      </c>
      <c r="P148" s="204" t="str">
        <f t="shared" si="36"/>
        <v>OK</v>
      </c>
      <c r="Q148" s="204" t="str">
        <f t="shared" si="36"/>
        <v>OK</v>
      </c>
      <c r="R148" s="204" t="str">
        <f t="shared" si="36"/>
        <v>OK</v>
      </c>
      <c r="S148" s="204" t="str">
        <f t="shared" si="36"/>
        <v>OK</v>
      </c>
      <c r="T148" s="204" t="str">
        <f t="shared" si="36"/>
        <v>OK</v>
      </c>
      <c r="U148" s="204" t="str">
        <f t="shared" si="36"/>
        <v>OK</v>
      </c>
      <c r="V148" s="204" t="str">
        <f t="shared" si="36"/>
        <v>OK</v>
      </c>
      <c r="W148" s="204" t="str">
        <f t="shared" si="36"/>
        <v>OK</v>
      </c>
      <c r="X148" s="204" t="str">
        <f t="shared" si="36"/>
        <v>OK</v>
      </c>
      <c r="Y148" s="204" t="str">
        <f t="shared" si="36"/>
        <v>OK</v>
      </c>
      <c r="Z148" s="204" t="str">
        <f t="shared" si="36"/>
        <v>OK</v>
      </c>
      <c r="AA148" s="204" t="str">
        <f t="shared" si="36"/>
        <v>OK</v>
      </c>
      <c r="AB148" s="204" t="str">
        <f t="shared" si="36"/>
        <v>OK</v>
      </c>
      <c r="AC148" s="204" t="str">
        <f t="shared" si="36"/>
        <v>OK</v>
      </c>
      <c r="AD148" s="204" t="str">
        <f t="shared" si="36"/>
        <v>OK</v>
      </c>
      <c r="AE148" s="204" t="str">
        <f t="shared" si="36"/>
        <v>OK</v>
      </c>
      <c r="AF148" s="204" t="str">
        <f t="shared" si="36"/>
        <v>OK</v>
      </c>
      <c r="AG148" s="204" t="str">
        <f t="shared" si="36"/>
        <v>OK</v>
      </c>
      <c r="AH148" s="204" t="str">
        <f t="shared" si="36"/>
        <v>OK</v>
      </c>
      <c r="AI148" s="204" t="str">
        <f t="shared" si="36"/>
        <v>OK</v>
      </c>
      <c r="AJ148" s="204" t="str">
        <f t="shared" si="36"/>
        <v>OK</v>
      </c>
      <c r="AK148" s="204" t="str">
        <f t="shared" si="36"/>
        <v>OK</v>
      </c>
      <c r="AL148" s="203" t="str">
        <f t="shared" si="36"/>
        <v>OK</v>
      </c>
    </row>
    <row r="149" spans="2:38" hidden="1" outlineLevel="2">
      <c r="B149" s="211" t="s">
        <v>87</v>
      </c>
      <c r="C149" s="210"/>
      <c r="D149" s="209" t="s">
        <v>86</v>
      </c>
      <c r="E149" s="208" t="s">
        <v>39</v>
      </c>
      <c r="F149" s="207" t="s">
        <v>39</v>
      </c>
      <c r="G149" s="207" t="s">
        <v>39</v>
      </c>
      <c r="H149" s="206" t="s">
        <v>39</v>
      </c>
      <c r="I149" s="205" t="str">
        <f t="shared" ref="I149:AL149" si="37">IF(I23&gt;=I67,"OK","BŁĄD")</f>
        <v>OK</v>
      </c>
      <c r="J149" s="204" t="str">
        <f t="shared" si="37"/>
        <v>OK</v>
      </c>
      <c r="K149" s="204" t="str">
        <f t="shared" si="37"/>
        <v>OK</v>
      </c>
      <c r="L149" s="204" t="str">
        <f t="shared" si="37"/>
        <v>OK</v>
      </c>
      <c r="M149" s="204" t="str">
        <f t="shared" si="37"/>
        <v>OK</v>
      </c>
      <c r="N149" s="204" t="str">
        <f t="shared" si="37"/>
        <v>OK</v>
      </c>
      <c r="O149" s="204" t="str">
        <f t="shared" si="37"/>
        <v>OK</v>
      </c>
      <c r="P149" s="204" t="str">
        <f t="shared" si="37"/>
        <v>OK</v>
      </c>
      <c r="Q149" s="204" t="str">
        <f t="shared" si="37"/>
        <v>OK</v>
      </c>
      <c r="R149" s="204" t="str">
        <f t="shared" si="37"/>
        <v>OK</v>
      </c>
      <c r="S149" s="204" t="str">
        <f t="shared" si="37"/>
        <v>OK</v>
      </c>
      <c r="T149" s="204" t="str">
        <f t="shared" si="37"/>
        <v>OK</v>
      </c>
      <c r="U149" s="204" t="str">
        <f t="shared" si="37"/>
        <v>OK</v>
      </c>
      <c r="V149" s="204" t="str">
        <f t="shared" si="37"/>
        <v>OK</v>
      </c>
      <c r="W149" s="204" t="str">
        <f t="shared" si="37"/>
        <v>OK</v>
      </c>
      <c r="X149" s="204" t="str">
        <f t="shared" si="37"/>
        <v>OK</v>
      </c>
      <c r="Y149" s="204" t="str">
        <f t="shared" si="37"/>
        <v>OK</v>
      </c>
      <c r="Z149" s="204" t="str">
        <f t="shared" si="37"/>
        <v>OK</v>
      </c>
      <c r="AA149" s="204" t="str">
        <f t="shared" si="37"/>
        <v>OK</v>
      </c>
      <c r="AB149" s="204" t="str">
        <f t="shared" si="37"/>
        <v>OK</v>
      </c>
      <c r="AC149" s="204" t="str">
        <f t="shared" si="37"/>
        <v>OK</v>
      </c>
      <c r="AD149" s="204" t="str">
        <f t="shared" si="37"/>
        <v>OK</v>
      </c>
      <c r="AE149" s="204" t="str">
        <f t="shared" si="37"/>
        <v>OK</v>
      </c>
      <c r="AF149" s="204" t="str">
        <f t="shared" si="37"/>
        <v>OK</v>
      </c>
      <c r="AG149" s="204" t="str">
        <f t="shared" si="37"/>
        <v>OK</v>
      </c>
      <c r="AH149" s="204" t="str">
        <f t="shared" si="37"/>
        <v>OK</v>
      </c>
      <c r="AI149" s="204" t="str">
        <f t="shared" si="37"/>
        <v>OK</v>
      </c>
      <c r="AJ149" s="204" t="str">
        <f t="shared" si="37"/>
        <v>OK</v>
      </c>
      <c r="AK149" s="204" t="str">
        <f t="shared" si="37"/>
        <v>OK</v>
      </c>
      <c r="AL149" s="203" t="str">
        <f t="shared" si="37"/>
        <v>OK</v>
      </c>
    </row>
    <row r="150" spans="2:38" hidden="1" outlineLevel="2">
      <c r="B150" s="211" t="s">
        <v>85</v>
      </c>
      <c r="C150" s="210"/>
      <c r="D150" s="209" t="s">
        <v>84</v>
      </c>
      <c r="E150" s="208" t="s">
        <v>39</v>
      </c>
      <c r="F150" s="207" t="s">
        <v>39</v>
      </c>
      <c r="G150" s="207" t="s">
        <v>39</v>
      </c>
      <c r="H150" s="206" t="s">
        <v>39</v>
      </c>
      <c r="I150" s="205" t="str">
        <f t="shared" ref="I150:AL150" si="38">IF(I23&gt;=I68+I69,"OK","BŁĄD")</f>
        <v>OK</v>
      </c>
      <c r="J150" s="204" t="str">
        <f t="shared" si="38"/>
        <v>OK</v>
      </c>
      <c r="K150" s="204" t="str">
        <f t="shared" si="38"/>
        <v>OK</v>
      </c>
      <c r="L150" s="204" t="str">
        <f t="shared" si="38"/>
        <v>OK</v>
      </c>
      <c r="M150" s="204" t="str">
        <f t="shared" si="38"/>
        <v>OK</v>
      </c>
      <c r="N150" s="204" t="str">
        <f t="shared" si="38"/>
        <v>OK</v>
      </c>
      <c r="O150" s="204" t="str">
        <f t="shared" si="38"/>
        <v>OK</v>
      </c>
      <c r="P150" s="204" t="str">
        <f t="shared" si="38"/>
        <v>OK</v>
      </c>
      <c r="Q150" s="204" t="str">
        <f t="shared" si="38"/>
        <v>OK</v>
      </c>
      <c r="R150" s="204" t="str">
        <f t="shared" si="38"/>
        <v>OK</v>
      </c>
      <c r="S150" s="204" t="str">
        <f t="shared" si="38"/>
        <v>OK</v>
      </c>
      <c r="T150" s="204" t="str">
        <f t="shared" si="38"/>
        <v>OK</v>
      </c>
      <c r="U150" s="204" t="str">
        <f t="shared" si="38"/>
        <v>OK</v>
      </c>
      <c r="V150" s="204" t="str">
        <f t="shared" si="38"/>
        <v>OK</v>
      </c>
      <c r="W150" s="204" t="str">
        <f t="shared" si="38"/>
        <v>OK</v>
      </c>
      <c r="X150" s="204" t="str">
        <f t="shared" si="38"/>
        <v>OK</v>
      </c>
      <c r="Y150" s="204" t="str">
        <f t="shared" si="38"/>
        <v>OK</v>
      </c>
      <c r="Z150" s="204" t="str">
        <f t="shared" si="38"/>
        <v>OK</v>
      </c>
      <c r="AA150" s="204" t="str">
        <f t="shared" si="38"/>
        <v>OK</v>
      </c>
      <c r="AB150" s="204" t="str">
        <f t="shared" si="38"/>
        <v>OK</v>
      </c>
      <c r="AC150" s="204" t="str">
        <f t="shared" si="38"/>
        <v>OK</v>
      </c>
      <c r="AD150" s="204" t="str">
        <f t="shared" si="38"/>
        <v>OK</v>
      </c>
      <c r="AE150" s="204" t="str">
        <f t="shared" si="38"/>
        <v>OK</v>
      </c>
      <c r="AF150" s="204" t="str">
        <f t="shared" si="38"/>
        <v>OK</v>
      </c>
      <c r="AG150" s="204" t="str">
        <f t="shared" si="38"/>
        <v>OK</v>
      </c>
      <c r="AH150" s="204" t="str">
        <f t="shared" si="38"/>
        <v>OK</v>
      </c>
      <c r="AI150" s="204" t="str">
        <f t="shared" si="38"/>
        <v>OK</v>
      </c>
      <c r="AJ150" s="204" t="str">
        <f t="shared" si="38"/>
        <v>OK</v>
      </c>
      <c r="AK150" s="204" t="str">
        <f t="shared" si="38"/>
        <v>OK</v>
      </c>
      <c r="AL150" s="203" t="str">
        <f t="shared" si="38"/>
        <v>OK</v>
      </c>
    </row>
    <row r="151" spans="2:38" hidden="1" outlineLevel="2">
      <c r="B151" s="211" t="s">
        <v>83</v>
      </c>
      <c r="C151" s="210"/>
      <c r="D151" s="209" t="s">
        <v>82</v>
      </c>
      <c r="E151" s="208" t="s">
        <v>39</v>
      </c>
      <c r="F151" s="207" t="s">
        <v>39</v>
      </c>
      <c r="G151" s="207" t="s">
        <v>39</v>
      </c>
      <c r="H151" s="206" t="s">
        <v>39</v>
      </c>
      <c r="I151" s="205" t="str">
        <f t="shared" ref="I151:AL151" si="39">IF(I23&gt;=I70,"OK","BŁĄD")</f>
        <v>OK</v>
      </c>
      <c r="J151" s="204" t="str">
        <f t="shared" si="39"/>
        <v>OK</v>
      </c>
      <c r="K151" s="204" t="str">
        <f t="shared" si="39"/>
        <v>OK</v>
      </c>
      <c r="L151" s="204" t="str">
        <f t="shared" si="39"/>
        <v>OK</v>
      </c>
      <c r="M151" s="204" t="str">
        <f t="shared" si="39"/>
        <v>OK</v>
      </c>
      <c r="N151" s="204" t="str">
        <f t="shared" si="39"/>
        <v>OK</v>
      </c>
      <c r="O151" s="204" t="str">
        <f t="shared" si="39"/>
        <v>OK</v>
      </c>
      <c r="P151" s="204" t="str">
        <f t="shared" si="39"/>
        <v>OK</v>
      </c>
      <c r="Q151" s="204" t="str">
        <f t="shared" si="39"/>
        <v>OK</v>
      </c>
      <c r="R151" s="204" t="str">
        <f t="shared" si="39"/>
        <v>OK</v>
      </c>
      <c r="S151" s="204" t="str">
        <f t="shared" si="39"/>
        <v>OK</v>
      </c>
      <c r="T151" s="204" t="str">
        <f t="shared" si="39"/>
        <v>OK</v>
      </c>
      <c r="U151" s="204" t="str">
        <f t="shared" si="39"/>
        <v>OK</v>
      </c>
      <c r="V151" s="204" t="str">
        <f t="shared" si="39"/>
        <v>OK</v>
      </c>
      <c r="W151" s="204" t="str">
        <f t="shared" si="39"/>
        <v>OK</v>
      </c>
      <c r="X151" s="204" t="str">
        <f t="shared" si="39"/>
        <v>OK</v>
      </c>
      <c r="Y151" s="204" t="str">
        <f t="shared" si="39"/>
        <v>OK</v>
      </c>
      <c r="Z151" s="204" t="str">
        <f t="shared" si="39"/>
        <v>OK</v>
      </c>
      <c r="AA151" s="204" t="str">
        <f t="shared" si="39"/>
        <v>OK</v>
      </c>
      <c r="AB151" s="204" t="str">
        <f t="shared" si="39"/>
        <v>OK</v>
      </c>
      <c r="AC151" s="204" t="str">
        <f t="shared" si="39"/>
        <v>OK</v>
      </c>
      <c r="AD151" s="204" t="str">
        <f t="shared" si="39"/>
        <v>OK</v>
      </c>
      <c r="AE151" s="204" t="str">
        <f t="shared" si="39"/>
        <v>OK</v>
      </c>
      <c r="AF151" s="204" t="str">
        <f t="shared" si="39"/>
        <v>OK</v>
      </c>
      <c r="AG151" s="204" t="str">
        <f t="shared" si="39"/>
        <v>OK</v>
      </c>
      <c r="AH151" s="204" t="str">
        <f t="shared" si="39"/>
        <v>OK</v>
      </c>
      <c r="AI151" s="204" t="str">
        <f t="shared" si="39"/>
        <v>OK</v>
      </c>
      <c r="AJ151" s="204" t="str">
        <f t="shared" si="39"/>
        <v>OK</v>
      </c>
      <c r="AK151" s="204" t="str">
        <f t="shared" si="39"/>
        <v>OK</v>
      </c>
      <c r="AL151" s="203" t="str">
        <f t="shared" si="39"/>
        <v>OK</v>
      </c>
    </row>
    <row r="152" spans="2:38" hidden="1" outlineLevel="2">
      <c r="B152" s="211" t="s">
        <v>81</v>
      </c>
      <c r="C152" s="210"/>
      <c r="D152" s="209" t="s">
        <v>80</v>
      </c>
      <c r="E152" s="208" t="s">
        <v>39</v>
      </c>
      <c r="F152" s="207" t="s">
        <v>39</v>
      </c>
      <c r="G152" s="207" t="s">
        <v>39</v>
      </c>
      <c r="H152" s="206" t="s">
        <v>39</v>
      </c>
      <c r="I152" s="205" t="str">
        <f t="shared" ref="I152:AL152" si="40">IF(I23&gt;=I81,"OK","BŁĄD")</f>
        <v>OK</v>
      </c>
      <c r="J152" s="204" t="str">
        <f t="shared" si="40"/>
        <v>OK</v>
      </c>
      <c r="K152" s="204" t="str">
        <f t="shared" si="40"/>
        <v>OK</v>
      </c>
      <c r="L152" s="204" t="str">
        <f t="shared" si="40"/>
        <v>OK</v>
      </c>
      <c r="M152" s="204" t="str">
        <f t="shared" si="40"/>
        <v>OK</v>
      </c>
      <c r="N152" s="204" t="str">
        <f t="shared" si="40"/>
        <v>OK</v>
      </c>
      <c r="O152" s="204" t="str">
        <f t="shared" si="40"/>
        <v>OK</v>
      </c>
      <c r="P152" s="204" t="str">
        <f t="shared" si="40"/>
        <v>OK</v>
      </c>
      <c r="Q152" s="204" t="str">
        <f t="shared" si="40"/>
        <v>OK</v>
      </c>
      <c r="R152" s="204" t="str">
        <f t="shared" si="40"/>
        <v>OK</v>
      </c>
      <c r="S152" s="204" t="str">
        <f t="shared" si="40"/>
        <v>OK</v>
      </c>
      <c r="T152" s="204" t="str">
        <f t="shared" si="40"/>
        <v>OK</v>
      </c>
      <c r="U152" s="204" t="str">
        <f t="shared" si="40"/>
        <v>OK</v>
      </c>
      <c r="V152" s="204" t="str">
        <f t="shared" si="40"/>
        <v>OK</v>
      </c>
      <c r="W152" s="204" t="str">
        <f t="shared" si="40"/>
        <v>OK</v>
      </c>
      <c r="X152" s="204" t="str">
        <f t="shared" si="40"/>
        <v>OK</v>
      </c>
      <c r="Y152" s="204" t="str">
        <f t="shared" si="40"/>
        <v>OK</v>
      </c>
      <c r="Z152" s="204" t="str">
        <f t="shared" si="40"/>
        <v>OK</v>
      </c>
      <c r="AA152" s="204" t="str">
        <f t="shared" si="40"/>
        <v>OK</v>
      </c>
      <c r="AB152" s="204" t="str">
        <f t="shared" si="40"/>
        <v>OK</v>
      </c>
      <c r="AC152" s="204" t="str">
        <f t="shared" si="40"/>
        <v>OK</v>
      </c>
      <c r="AD152" s="204" t="str">
        <f t="shared" si="40"/>
        <v>OK</v>
      </c>
      <c r="AE152" s="204" t="str">
        <f t="shared" si="40"/>
        <v>OK</v>
      </c>
      <c r="AF152" s="204" t="str">
        <f t="shared" si="40"/>
        <v>OK</v>
      </c>
      <c r="AG152" s="204" t="str">
        <f t="shared" si="40"/>
        <v>OK</v>
      </c>
      <c r="AH152" s="204" t="str">
        <f t="shared" si="40"/>
        <v>OK</v>
      </c>
      <c r="AI152" s="204" t="str">
        <f t="shared" si="40"/>
        <v>OK</v>
      </c>
      <c r="AJ152" s="204" t="str">
        <f t="shared" si="40"/>
        <v>OK</v>
      </c>
      <c r="AK152" s="204" t="str">
        <f t="shared" si="40"/>
        <v>OK</v>
      </c>
      <c r="AL152" s="203" t="str">
        <f t="shared" si="40"/>
        <v>OK</v>
      </c>
    </row>
    <row r="153" spans="2:38" hidden="1" outlineLevel="2">
      <c r="B153" s="211" t="s">
        <v>79</v>
      </c>
      <c r="C153" s="210"/>
      <c r="D153" s="209" t="s">
        <v>78</v>
      </c>
      <c r="E153" s="208" t="s">
        <v>39</v>
      </c>
      <c r="F153" s="207" t="s">
        <v>39</v>
      </c>
      <c r="G153" s="207" t="s">
        <v>39</v>
      </c>
      <c r="H153" s="206" t="s">
        <v>39</v>
      </c>
      <c r="I153" s="205" t="str">
        <f t="shared" ref="I153:AL153" si="41">IF(I26&gt;=I27,"OK","BŁĄD")</f>
        <v>OK</v>
      </c>
      <c r="J153" s="204" t="str">
        <f t="shared" si="41"/>
        <v>OK</v>
      </c>
      <c r="K153" s="204" t="str">
        <f t="shared" si="41"/>
        <v>OK</v>
      </c>
      <c r="L153" s="204" t="str">
        <f t="shared" si="41"/>
        <v>OK</v>
      </c>
      <c r="M153" s="204" t="str">
        <f t="shared" si="41"/>
        <v>OK</v>
      </c>
      <c r="N153" s="204" t="str">
        <f t="shared" si="41"/>
        <v>OK</v>
      </c>
      <c r="O153" s="204" t="str">
        <f t="shared" si="41"/>
        <v>OK</v>
      </c>
      <c r="P153" s="204" t="str">
        <f t="shared" si="41"/>
        <v>OK</v>
      </c>
      <c r="Q153" s="204" t="str">
        <f t="shared" si="41"/>
        <v>OK</v>
      </c>
      <c r="R153" s="204" t="str">
        <f t="shared" si="41"/>
        <v>OK</v>
      </c>
      <c r="S153" s="204" t="str">
        <f t="shared" si="41"/>
        <v>OK</v>
      </c>
      <c r="T153" s="204" t="str">
        <f t="shared" si="41"/>
        <v>OK</v>
      </c>
      <c r="U153" s="204" t="str">
        <f t="shared" si="41"/>
        <v>OK</v>
      </c>
      <c r="V153" s="204" t="str">
        <f t="shared" si="41"/>
        <v>OK</v>
      </c>
      <c r="W153" s="204" t="str">
        <f t="shared" si="41"/>
        <v>OK</v>
      </c>
      <c r="X153" s="204" t="str">
        <f t="shared" si="41"/>
        <v>OK</v>
      </c>
      <c r="Y153" s="204" t="str">
        <f t="shared" si="41"/>
        <v>OK</v>
      </c>
      <c r="Z153" s="204" t="str">
        <f t="shared" si="41"/>
        <v>OK</v>
      </c>
      <c r="AA153" s="204" t="str">
        <f t="shared" si="41"/>
        <v>OK</v>
      </c>
      <c r="AB153" s="204" t="str">
        <f t="shared" si="41"/>
        <v>OK</v>
      </c>
      <c r="AC153" s="204" t="str">
        <f t="shared" si="41"/>
        <v>OK</v>
      </c>
      <c r="AD153" s="204" t="str">
        <f t="shared" si="41"/>
        <v>OK</v>
      </c>
      <c r="AE153" s="204" t="str">
        <f t="shared" si="41"/>
        <v>OK</v>
      </c>
      <c r="AF153" s="204" t="str">
        <f t="shared" si="41"/>
        <v>OK</v>
      </c>
      <c r="AG153" s="204" t="str">
        <f t="shared" si="41"/>
        <v>OK</v>
      </c>
      <c r="AH153" s="204" t="str">
        <f t="shared" si="41"/>
        <v>OK</v>
      </c>
      <c r="AI153" s="204" t="str">
        <f t="shared" si="41"/>
        <v>OK</v>
      </c>
      <c r="AJ153" s="204" t="str">
        <f t="shared" si="41"/>
        <v>OK</v>
      </c>
      <c r="AK153" s="204" t="str">
        <f t="shared" si="41"/>
        <v>OK</v>
      </c>
      <c r="AL153" s="203" t="str">
        <f t="shared" si="41"/>
        <v>OK</v>
      </c>
    </row>
    <row r="154" spans="2:38" hidden="1" outlineLevel="2">
      <c r="B154" s="211" t="s">
        <v>77</v>
      </c>
      <c r="C154" s="210"/>
      <c r="D154" s="209" t="s">
        <v>76</v>
      </c>
      <c r="E154" s="208" t="s">
        <v>39</v>
      </c>
      <c r="F154" s="207" t="s">
        <v>39</v>
      </c>
      <c r="G154" s="207" t="s">
        <v>39</v>
      </c>
      <c r="H154" s="206" t="s">
        <v>39</v>
      </c>
      <c r="I154" s="205" t="str">
        <f t="shared" ref="I154:AL154" si="42">IF(I28&gt;=I29,"OK","BŁĄD")</f>
        <v>OK</v>
      </c>
      <c r="J154" s="204" t="str">
        <f t="shared" si="42"/>
        <v>OK</v>
      </c>
      <c r="K154" s="204" t="str">
        <f t="shared" si="42"/>
        <v>OK</v>
      </c>
      <c r="L154" s="204" t="str">
        <f t="shared" si="42"/>
        <v>OK</v>
      </c>
      <c r="M154" s="204" t="str">
        <f t="shared" si="42"/>
        <v>OK</v>
      </c>
      <c r="N154" s="204" t="str">
        <f t="shared" si="42"/>
        <v>OK</v>
      </c>
      <c r="O154" s="204" t="str">
        <f t="shared" si="42"/>
        <v>OK</v>
      </c>
      <c r="P154" s="204" t="str">
        <f t="shared" si="42"/>
        <v>OK</v>
      </c>
      <c r="Q154" s="204" t="str">
        <f t="shared" si="42"/>
        <v>OK</v>
      </c>
      <c r="R154" s="204" t="str">
        <f t="shared" si="42"/>
        <v>OK</v>
      </c>
      <c r="S154" s="204" t="str">
        <f t="shared" si="42"/>
        <v>OK</v>
      </c>
      <c r="T154" s="204" t="str">
        <f t="shared" si="42"/>
        <v>OK</v>
      </c>
      <c r="U154" s="204" t="str">
        <f t="shared" si="42"/>
        <v>OK</v>
      </c>
      <c r="V154" s="204" t="str">
        <f t="shared" si="42"/>
        <v>OK</v>
      </c>
      <c r="W154" s="204" t="str">
        <f t="shared" si="42"/>
        <v>OK</v>
      </c>
      <c r="X154" s="204" t="str">
        <f t="shared" si="42"/>
        <v>OK</v>
      </c>
      <c r="Y154" s="204" t="str">
        <f t="shared" si="42"/>
        <v>OK</v>
      </c>
      <c r="Z154" s="204" t="str">
        <f t="shared" si="42"/>
        <v>OK</v>
      </c>
      <c r="AA154" s="204" t="str">
        <f t="shared" si="42"/>
        <v>OK</v>
      </c>
      <c r="AB154" s="204" t="str">
        <f t="shared" si="42"/>
        <v>OK</v>
      </c>
      <c r="AC154" s="204" t="str">
        <f t="shared" si="42"/>
        <v>OK</v>
      </c>
      <c r="AD154" s="204" t="str">
        <f t="shared" si="42"/>
        <v>OK</v>
      </c>
      <c r="AE154" s="204" t="str">
        <f t="shared" si="42"/>
        <v>OK</v>
      </c>
      <c r="AF154" s="204" t="str">
        <f t="shared" si="42"/>
        <v>OK</v>
      </c>
      <c r="AG154" s="204" t="str">
        <f t="shared" si="42"/>
        <v>OK</v>
      </c>
      <c r="AH154" s="204" t="str">
        <f t="shared" si="42"/>
        <v>OK</v>
      </c>
      <c r="AI154" s="204" t="str">
        <f t="shared" si="42"/>
        <v>OK</v>
      </c>
      <c r="AJ154" s="204" t="str">
        <f t="shared" si="42"/>
        <v>OK</v>
      </c>
      <c r="AK154" s="204" t="str">
        <f t="shared" si="42"/>
        <v>OK</v>
      </c>
      <c r="AL154" s="203" t="str">
        <f t="shared" si="42"/>
        <v>OK</v>
      </c>
    </row>
    <row r="155" spans="2:38" hidden="1" outlineLevel="2">
      <c r="B155" s="211" t="s">
        <v>75</v>
      </c>
      <c r="C155" s="210"/>
      <c r="D155" s="209" t="s">
        <v>74</v>
      </c>
      <c r="E155" s="208" t="s">
        <v>39</v>
      </c>
      <c r="F155" s="207" t="s">
        <v>39</v>
      </c>
      <c r="G155" s="207" t="s">
        <v>39</v>
      </c>
      <c r="H155" s="206" t="s">
        <v>39</v>
      </c>
      <c r="I155" s="205" t="str">
        <f t="shared" ref="I155:AL155" si="43">IF(I30&gt;=I31,"OK","BŁĄD")</f>
        <v>OK</v>
      </c>
      <c r="J155" s="204" t="str">
        <f t="shared" si="43"/>
        <v>OK</v>
      </c>
      <c r="K155" s="204" t="str">
        <f t="shared" si="43"/>
        <v>OK</v>
      </c>
      <c r="L155" s="204" t="str">
        <f t="shared" si="43"/>
        <v>OK</v>
      </c>
      <c r="M155" s="204" t="str">
        <f t="shared" si="43"/>
        <v>OK</v>
      </c>
      <c r="N155" s="204" t="str">
        <f t="shared" si="43"/>
        <v>OK</v>
      </c>
      <c r="O155" s="204" t="str">
        <f t="shared" si="43"/>
        <v>OK</v>
      </c>
      <c r="P155" s="204" t="str">
        <f t="shared" si="43"/>
        <v>OK</v>
      </c>
      <c r="Q155" s="204" t="str">
        <f t="shared" si="43"/>
        <v>OK</v>
      </c>
      <c r="R155" s="204" t="str">
        <f t="shared" si="43"/>
        <v>OK</v>
      </c>
      <c r="S155" s="204" t="str">
        <f t="shared" si="43"/>
        <v>OK</v>
      </c>
      <c r="T155" s="204" t="str">
        <f t="shared" si="43"/>
        <v>OK</v>
      </c>
      <c r="U155" s="204" t="str">
        <f t="shared" si="43"/>
        <v>OK</v>
      </c>
      <c r="V155" s="204" t="str">
        <f t="shared" si="43"/>
        <v>OK</v>
      </c>
      <c r="W155" s="204" t="str">
        <f t="shared" si="43"/>
        <v>OK</v>
      </c>
      <c r="X155" s="204" t="str">
        <f t="shared" si="43"/>
        <v>OK</v>
      </c>
      <c r="Y155" s="204" t="str">
        <f t="shared" si="43"/>
        <v>OK</v>
      </c>
      <c r="Z155" s="204" t="str">
        <f t="shared" si="43"/>
        <v>OK</v>
      </c>
      <c r="AA155" s="204" t="str">
        <f t="shared" si="43"/>
        <v>OK</v>
      </c>
      <c r="AB155" s="204" t="str">
        <f t="shared" si="43"/>
        <v>OK</v>
      </c>
      <c r="AC155" s="204" t="str">
        <f t="shared" si="43"/>
        <v>OK</v>
      </c>
      <c r="AD155" s="204" t="str">
        <f t="shared" si="43"/>
        <v>OK</v>
      </c>
      <c r="AE155" s="204" t="str">
        <f t="shared" si="43"/>
        <v>OK</v>
      </c>
      <c r="AF155" s="204" t="str">
        <f t="shared" si="43"/>
        <v>OK</v>
      </c>
      <c r="AG155" s="204" t="str">
        <f t="shared" si="43"/>
        <v>OK</v>
      </c>
      <c r="AH155" s="204" t="str">
        <f t="shared" si="43"/>
        <v>OK</v>
      </c>
      <c r="AI155" s="204" t="str">
        <f t="shared" si="43"/>
        <v>OK</v>
      </c>
      <c r="AJ155" s="204" t="str">
        <f t="shared" si="43"/>
        <v>OK</v>
      </c>
      <c r="AK155" s="204" t="str">
        <f t="shared" si="43"/>
        <v>OK</v>
      </c>
      <c r="AL155" s="203" t="str">
        <f t="shared" si="43"/>
        <v>OK</v>
      </c>
    </row>
    <row r="156" spans="2:38" hidden="1" outlineLevel="2">
      <c r="B156" s="211" t="s">
        <v>73</v>
      </c>
      <c r="C156" s="210"/>
      <c r="D156" s="209" t="s">
        <v>72</v>
      </c>
      <c r="E156" s="208" t="s">
        <v>39</v>
      </c>
      <c r="F156" s="207" t="s">
        <v>39</v>
      </c>
      <c r="G156" s="207" t="s">
        <v>39</v>
      </c>
      <c r="H156" s="206" t="s">
        <v>39</v>
      </c>
      <c r="I156" s="205" t="str">
        <f t="shared" ref="I156:AL156" si="44">IF(I32&gt;=I33,"OK","BŁĄD")</f>
        <v>OK</v>
      </c>
      <c r="J156" s="204" t="str">
        <f t="shared" si="44"/>
        <v>OK</v>
      </c>
      <c r="K156" s="204" t="str">
        <f t="shared" si="44"/>
        <v>OK</v>
      </c>
      <c r="L156" s="204" t="str">
        <f t="shared" si="44"/>
        <v>OK</v>
      </c>
      <c r="M156" s="204" t="str">
        <f t="shared" si="44"/>
        <v>OK</v>
      </c>
      <c r="N156" s="204" t="str">
        <f t="shared" si="44"/>
        <v>OK</v>
      </c>
      <c r="O156" s="204" t="str">
        <f t="shared" si="44"/>
        <v>OK</v>
      </c>
      <c r="P156" s="204" t="str">
        <f t="shared" si="44"/>
        <v>OK</v>
      </c>
      <c r="Q156" s="204" t="str">
        <f t="shared" si="44"/>
        <v>OK</v>
      </c>
      <c r="R156" s="204" t="str">
        <f t="shared" si="44"/>
        <v>OK</v>
      </c>
      <c r="S156" s="204" t="str">
        <f t="shared" si="44"/>
        <v>OK</v>
      </c>
      <c r="T156" s="204" t="str">
        <f t="shared" si="44"/>
        <v>OK</v>
      </c>
      <c r="U156" s="204" t="str">
        <f t="shared" si="44"/>
        <v>OK</v>
      </c>
      <c r="V156" s="204" t="str">
        <f t="shared" si="44"/>
        <v>OK</v>
      </c>
      <c r="W156" s="204" t="str">
        <f t="shared" si="44"/>
        <v>OK</v>
      </c>
      <c r="X156" s="204" t="str">
        <f t="shared" si="44"/>
        <v>OK</v>
      </c>
      <c r="Y156" s="204" t="str">
        <f t="shared" si="44"/>
        <v>OK</v>
      </c>
      <c r="Z156" s="204" t="str">
        <f t="shared" si="44"/>
        <v>OK</v>
      </c>
      <c r="AA156" s="204" t="str">
        <f t="shared" si="44"/>
        <v>OK</v>
      </c>
      <c r="AB156" s="204" t="str">
        <f t="shared" si="44"/>
        <v>OK</v>
      </c>
      <c r="AC156" s="204" t="str">
        <f t="shared" si="44"/>
        <v>OK</v>
      </c>
      <c r="AD156" s="204" t="str">
        <f t="shared" si="44"/>
        <v>OK</v>
      </c>
      <c r="AE156" s="204" t="str">
        <f t="shared" si="44"/>
        <v>OK</v>
      </c>
      <c r="AF156" s="204" t="str">
        <f t="shared" si="44"/>
        <v>OK</v>
      </c>
      <c r="AG156" s="204" t="str">
        <f t="shared" si="44"/>
        <v>OK</v>
      </c>
      <c r="AH156" s="204" t="str">
        <f t="shared" si="44"/>
        <v>OK</v>
      </c>
      <c r="AI156" s="204" t="str">
        <f t="shared" si="44"/>
        <v>OK</v>
      </c>
      <c r="AJ156" s="204" t="str">
        <f t="shared" si="44"/>
        <v>OK</v>
      </c>
      <c r="AK156" s="204" t="str">
        <f t="shared" si="44"/>
        <v>OK</v>
      </c>
      <c r="AL156" s="203" t="str">
        <f t="shared" si="44"/>
        <v>OK</v>
      </c>
    </row>
    <row r="157" spans="2:38" hidden="1" outlineLevel="2">
      <c r="B157" s="211" t="s">
        <v>71</v>
      </c>
      <c r="C157" s="210"/>
      <c r="D157" s="209" t="s">
        <v>70</v>
      </c>
      <c r="E157" s="208" t="s">
        <v>39</v>
      </c>
      <c r="F157" s="207" t="s">
        <v>39</v>
      </c>
      <c r="G157" s="207" t="s">
        <v>39</v>
      </c>
      <c r="H157" s="206" t="s">
        <v>39</v>
      </c>
      <c r="I157" s="205" t="str">
        <f t="shared" ref="I157:AL158" si="45">IF(I35&gt;=I36,"OK","BŁĄD")</f>
        <v>OK</v>
      </c>
      <c r="J157" s="204" t="str">
        <f t="shared" si="45"/>
        <v>OK</v>
      </c>
      <c r="K157" s="204" t="str">
        <f t="shared" si="45"/>
        <v>OK</v>
      </c>
      <c r="L157" s="204" t="str">
        <f t="shared" si="45"/>
        <v>OK</v>
      </c>
      <c r="M157" s="204" t="str">
        <f t="shared" si="45"/>
        <v>OK</v>
      </c>
      <c r="N157" s="204" t="str">
        <f t="shared" si="45"/>
        <v>OK</v>
      </c>
      <c r="O157" s="204" t="str">
        <f t="shared" si="45"/>
        <v>OK</v>
      </c>
      <c r="P157" s="204" t="str">
        <f t="shared" si="45"/>
        <v>OK</v>
      </c>
      <c r="Q157" s="204" t="str">
        <f t="shared" si="45"/>
        <v>OK</v>
      </c>
      <c r="R157" s="204" t="str">
        <f t="shared" si="45"/>
        <v>OK</v>
      </c>
      <c r="S157" s="204" t="str">
        <f t="shared" si="45"/>
        <v>OK</v>
      </c>
      <c r="T157" s="204" t="str">
        <f t="shared" si="45"/>
        <v>OK</v>
      </c>
      <c r="U157" s="204" t="str">
        <f t="shared" si="45"/>
        <v>OK</v>
      </c>
      <c r="V157" s="204" t="str">
        <f t="shared" si="45"/>
        <v>OK</v>
      </c>
      <c r="W157" s="204" t="str">
        <f t="shared" si="45"/>
        <v>OK</v>
      </c>
      <c r="X157" s="204" t="str">
        <f t="shared" si="45"/>
        <v>OK</v>
      </c>
      <c r="Y157" s="204" t="str">
        <f t="shared" si="45"/>
        <v>OK</v>
      </c>
      <c r="Z157" s="204" t="str">
        <f t="shared" si="45"/>
        <v>OK</v>
      </c>
      <c r="AA157" s="204" t="str">
        <f t="shared" si="45"/>
        <v>OK</v>
      </c>
      <c r="AB157" s="204" t="str">
        <f t="shared" si="45"/>
        <v>OK</v>
      </c>
      <c r="AC157" s="204" t="str">
        <f t="shared" si="45"/>
        <v>OK</v>
      </c>
      <c r="AD157" s="204" t="str">
        <f t="shared" si="45"/>
        <v>OK</v>
      </c>
      <c r="AE157" s="204" t="str">
        <f t="shared" si="45"/>
        <v>OK</v>
      </c>
      <c r="AF157" s="204" t="str">
        <f t="shared" si="45"/>
        <v>OK</v>
      </c>
      <c r="AG157" s="204" t="str">
        <f t="shared" si="45"/>
        <v>OK</v>
      </c>
      <c r="AH157" s="204" t="str">
        <f t="shared" si="45"/>
        <v>OK</v>
      </c>
      <c r="AI157" s="204" t="str">
        <f t="shared" si="45"/>
        <v>OK</v>
      </c>
      <c r="AJ157" s="204" t="str">
        <f t="shared" si="45"/>
        <v>OK</v>
      </c>
      <c r="AK157" s="204" t="str">
        <f t="shared" si="45"/>
        <v>OK</v>
      </c>
      <c r="AL157" s="203" t="str">
        <f t="shared" si="45"/>
        <v>OK</v>
      </c>
    </row>
    <row r="158" spans="2:38" hidden="1" outlineLevel="2">
      <c r="B158" s="211" t="s">
        <v>69</v>
      </c>
      <c r="C158" s="210"/>
      <c r="D158" s="209" t="s">
        <v>68</v>
      </c>
      <c r="E158" s="208" t="s">
        <v>39</v>
      </c>
      <c r="F158" s="207" t="s">
        <v>39</v>
      </c>
      <c r="G158" s="207" t="s">
        <v>39</v>
      </c>
      <c r="H158" s="206" t="s">
        <v>39</v>
      </c>
      <c r="I158" s="205" t="str">
        <f t="shared" si="45"/>
        <v>OK</v>
      </c>
      <c r="J158" s="204" t="str">
        <f t="shared" si="45"/>
        <v>OK</v>
      </c>
      <c r="K158" s="204" t="str">
        <f t="shared" si="45"/>
        <v>OK</v>
      </c>
      <c r="L158" s="204" t="str">
        <f t="shared" si="45"/>
        <v>OK</v>
      </c>
      <c r="M158" s="204" t="str">
        <f t="shared" si="45"/>
        <v>OK</v>
      </c>
      <c r="N158" s="204" t="str">
        <f t="shared" si="45"/>
        <v>OK</v>
      </c>
      <c r="O158" s="204" t="str">
        <f t="shared" si="45"/>
        <v>OK</v>
      </c>
      <c r="P158" s="204" t="str">
        <f t="shared" si="45"/>
        <v>OK</v>
      </c>
      <c r="Q158" s="204" t="str">
        <f t="shared" si="45"/>
        <v>OK</v>
      </c>
      <c r="R158" s="204" t="str">
        <f t="shared" si="45"/>
        <v>OK</v>
      </c>
      <c r="S158" s="204" t="str">
        <f t="shared" si="45"/>
        <v>OK</v>
      </c>
      <c r="T158" s="204" t="str">
        <f t="shared" si="45"/>
        <v>OK</v>
      </c>
      <c r="U158" s="204" t="str">
        <f t="shared" si="45"/>
        <v>OK</v>
      </c>
      <c r="V158" s="204" t="str">
        <f t="shared" si="45"/>
        <v>OK</v>
      </c>
      <c r="W158" s="204" t="str">
        <f t="shared" si="45"/>
        <v>OK</v>
      </c>
      <c r="X158" s="204" t="str">
        <f t="shared" si="45"/>
        <v>OK</v>
      </c>
      <c r="Y158" s="204" t="str">
        <f t="shared" si="45"/>
        <v>OK</v>
      </c>
      <c r="Z158" s="204" t="str">
        <f t="shared" si="45"/>
        <v>OK</v>
      </c>
      <c r="AA158" s="204" t="str">
        <f t="shared" si="45"/>
        <v>OK</v>
      </c>
      <c r="AB158" s="204" t="str">
        <f t="shared" si="45"/>
        <v>OK</v>
      </c>
      <c r="AC158" s="204" t="str">
        <f t="shared" si="45"/>
        <v>OK</v>
      </c>
      <c r="AD158" s="204" t="str">
        <f t="shared" si="45"/>
        <v>OK</v>
      </c>
      <c r="AE158" s="204" t="str">
        <f t="shared" si="45"/>
        <v>OK</v>
      </c>
      <c r="AF158" s="204" t="str">
        <f t="shared" si="45"/>
        <v>OK</v>
      </c>
      <c r="AG158" s="204" t="str">
        <f t="shared" si="45"/>
        <v>OK</v>
      </c>
      <c r="AH158" s="204" t="str">
        <f t="shared" si="45"/>
        <v>OK</v>
      </c>
      <c r="AI158" s="204" t="str">
        <f t="shared" si="45"/>
        <v>OK</v>
      </c>
      <c r="AJ158" s="204" t="str">
        <f t="shared" si="45"/>
        <v>OK</v>
      </c>
      <c r="AK158" s="204" t="str">
        <f t="shared" si="45"/>
        <v>OK</v>
      </c>
      <c r="AL158" s="203" t="str">
        <f t="shared" si="45"/>
        <v>OK</v>
      </c>
    </row>
    <row r="159" spans="2:38" hidden="1" outlineLevel="2">
      <c r="B159" s="211" t="s">
        <v>67</v>
      </c>
      <c r="C159" s="210"/>
      <c r="D159" s="209" t="s">
        <v>66</v>
      </c>
      <c r="E159" s="208" t="s">
        <v>39</v>
      </c>
      <c r="F159" s="207" t="s">
        <v>39</v>
      </c>
      <c r="G159" s="207" t="s">
        <v>39</v>
      </c>
      <c r="H159" s="206" t="s">
        <v>39</v>
      </c>
      <c r="I159" s="205" t="str">
        <f t="shared" ref="I159:AL159" si="46">IF(I35&gt;=I61,"OK","BŁĄD")</f>
        <v>OK</v>
      </c>
      <c r="J159" s="204" t="str">
        <f t="shared" si="46"/>
        <v>OK</v>
      </c>
      <c r="K159" s="204" t="str">
        <f t="shared" si="46"/>
        <v>OK</v>
      </c>
      <c r="L159" s="204" t="str">
        <f t="shared" si="46"/>
        <v>OK</v>
      </c>
      <c r="M159" s="204" t="str">
        <f t="shared" si="46"/>
        <v>OK</v>
      </c>
      <c r="N159" s="204" t="str">
        <f t="shared" si="46"/>
        <v>OK</v>
      </c>
      <c r="O159" s="204" t="str">
        <f t="shared" si="46"/>
        <v>OK</v>
      </c>
      <c r="P159" s="204" t="str">
        <f t="shared" si="46"/>
        <v>OK</v>
      </c>
      <c r="Q159" s="204" t="str">
        <f t="shared" si="46"/>
        <v>OK</v>
      </c>
      <c r="R159" s="204" t="str">
        <f t="shared" si="46"/>
        <v>OK</v>
      </c>
      <c r="S159" s="204" t="str">
        <f t="shared" si="46"/>
        <v>OK</v>
      </c>
      <c r="T159" s="204" t="str">
        <f t="shared" si="46"/>
        <v>OK</v>
      </c>
      <c r="U159" s="204" t="str">
        <f t="shared" si="46"/>
        <v>OK</v>
      </c>
      <c r="V159" s="204" t="str">
        <f t="shared" si="46"/>
        <v>OK</v>
      </c>
      <c r="W159" s="204" t="str">
        <f t="shared" si="46"/>
        <v>OK</v>
      </c>
      <c r="X159" s="204" t="str">
        <f t="shared" si="46"/>
        <v>OK</v>
      </c>
      <c r="Y159" s="204" t="str">
        <f t="shared" si="46"/>
        <v>OK</v>
      </c>
      <c r="Z159" s="204" t="str">
        <f t="shared" si="46"/>
        <v>OK</v>
      </c>
      <c r="AA159" s="204" t="str">
        <f t="shared" si="46"/>
        <v>OK</v>
      </c>
      <c r="AB159" s="204" t="str">
        <f t="shared" si="46"/>
        <v>OK</v>
      </c>
      <c r="AC159" s="204" t="str">
        <f t="shared" si="46"/>
        <v>OK</v>
      </c>
      <c r="AD159" s="204" t="str">
        <f t="shared" si="46"/>
        <v>OK</v>
      </c>
      <c r="AE159" s="204" t="str">
        <f t="shared" si="46"/>
        <v>OK</v>
      </c>
      <c r="AF159" s="204" t="str">
        <f t="shared" si="46"/>
        <v>OK</v>
      </c>
      <c r="AG159" s="204" t="str">
        <f t="shared" si="46"/>
        <v>OK</v>
      </c>
      <c r="AH159" s="204" t="str">
        <f t="shared" si="46"/>
        <v>OK</v>
      </c>
      <c r="AI159" s="204" t="str">
        <f t="shared" si="46"/>
        <v>OK</v>
      </c>
      <c r="AJ159" s="204" t="str">
        <f t="shared" si="46"/>
        <v>OK</v>
      </c>
      <c r="AK159" s="204" t="str">
        <f t="shared" si="46"/>
        <v>OK</v>
      </c>
      <c r="AL159" s="203" t="str">
        <f t="shared" si="46"/>
        <v>OK</v>
      </c>
    </row>
    <row r="160" spans="2:38" hidden="1" outlineLevel="2">
      <c r="B160" s="211" t="s">
        <v>65</v>
      </c>
      <c r="C160" s="210"/>
      <c r="D160" s="209" t="s">
        <v>64</v>
      </c>
      <c r="E160" s="208" t="s">
        <v>39</v>
      </c>
      <c r="F160" s="207" t="s">
        <v>39</v>
      </c>
      <c r="G160" s="207" t="s">
        <v>39</v>
      </c>
      <c r="H160" s="206" t="s">
        <v>39</v>
      </c>
      <c r="I160" s="205" t="str">
        <f t="shared" ref="I160:AL160" si="47">IF(I35&gt;=I93,"OK","BŁĄD")</f>
        <v>OK</v>
      </c>
      <c r="J160" s="204" t="str">
        <f t="shared" si="47"/>
        <v>OK</v>
      </c>
      <c r="K160" s="204" t="str">
        <f t="shared" si="47"/>
        <v>OK</v>
      </c>
      <c r="L160" s="204" t="str">
        <f t="shared" si="47"/>
        <v>OK</v>
      </c>
      <c r="M160" s="204" t="str">
        <f t="shared" si="47"/>
        <v>OK</v>
      </c>
      <c r="N160" s="204" t="str">
        <f t="shared" si="47"/>
        <v>OK</v>
      </c>
      <c r="O160" s="204" t="str">
        <f t="shared" si="47"/>
        <v>OK</v>
      </c>
      <c r="P160" s="204" t="str">
        <f t="shared" si="47"/>
        <v>OK</v>
      </c>
      <c r="Q160" s="204" t="str">
        <f t="shared" si="47"/>
        <v>OK</v>
      </c>
      <c r="R160" s="204" t="str">
        <f t="shared" si="47"/>
        <v>OK</v>
      </c>
      <c r="S160" s="204" t="str">
        <f t="shared" si="47"/>
        <v>OK</v>
      </c>
      <c r="T160" s="204" t="str">
        <f t="shared" si="47"/>
        <v>OK</v>
      </c>
      <c r="U160" s="204" t="str">
        <f t="shared" si="47"/>
        <v>OK</v>
      </c>
      <c r="V160" s="204" t="str">
        <f t="shared" si="47"/>
        <v>OK</v>
      </c>
      <c r="W160" s="204" t="str">
        <f t="shared" si="47"/>
        <v>OK</v>
      </c>
      <c r="X160" s="204" t="str">
        <f t="shared" si="47"/>
        <v>OK</v>
      </c>
      <c r="Y160" s="204" t="str">
        <f t="shared" si="47"/>
        <v>OK</v>
      </c>
      <c r="Z160" s="204" t="str">
        <f t="shared" si="47"/>
        <v>OK</v>
      </c>
      <c r="AA160" s="204" t="str">
        <f t="shared" si="47"/>
        <v>OK</v>
      </c>
      <c r="AB160" s="204" t="str">
        <f t="shared" si="47"/>
        <v>OK</v>
      </c>
      <c r="AC160" s="204" t="str">
        <f t="shared" si="47"/>
        <v>OK</v>
      </c>
      <c r="AD160" s="204" t="str">
        <f t="shared" si="47"/>
        <v>OK</v>
      </c>
      <c r="AE160" s="204" t="str">
        <f t="shared" si="47"/>
        <v>OK</v>
      </c>
      <c r="AF160" s="204" t="str">
        <f t="shared" si="47"/>
        <v>OK</v>
      </c>
      <c r="AG160" s="204" t="str">
        <f t="shared" si="47"/>
        <v>OK</v>
      </c>
      <c r="AH160" s="204" t="str">
        <f t="shared" si="47"/>
        <v>OK</v>
      </c>
      <c r="AI160" s="204" t="str">
        <f t="shared" si="47"/>
        <v>OK</v>
      </c>
      <c r="AJ160" s="204" t="str">
        <f t="shared" si="47"/>
        <v>OK</v>
      </c>
      <c r="AK160" s="204" t="str">
        <f t="shared" si="47"/>
        <v>OK</v>
      </c>
      <c r="AL160" s="203" t="str">
        <f t="shared" si="47"/>
        <v>OK</v>
      </c>
    </row>
    <row r="161" spans="2:39" hidden="1" outlineLevel="2">
      <c r="B161" s="211" t="s">
        <v>63</v>
      </c>
      <c r="C161" s="210"/>
      <c r="D161" s="209" t="s">
        <v>62</v>
      </c>
      <c r="E161" s="208" t="s">
        <v>39</v>
      </c>
      <c r="F161" s="207" t="s">
        <v>39</v>
      </c>
      <c r="G161" s="207" t="s">
        <v>39</v>
      </c>
      <c r="H161" s="206" t="s">
        <v>39</v>
      </c>
      <c r="I161" s="205" t="str">
        <f t="shared" ref="I161:AL161" si="48">IF(I39&gt;=I40,"OK","BŁĄD")</f>
        <v>OK</v>
      </c>
      <c r="J161" s="204" t="str">
        <f t="shared" si="48"/>
        <v>OK</v>
      </c>
      <c r="K161" s="204" t="str">
        <f t="shared" si="48"/>
        <v>OK</v>
      </c>
      <c r="L161" s="204" t="str">
        <f t="shared" si="48"/>
        <v>OK</v>
      </c>
      <c r="M161" s="204" t="str">
        <f t="shared" si="48"/>
        <v>OK</v>
      </c>
      <c r="N161" s="204" t="str">
        <f t="shared" si="48"/>
        <v>OK</v>
      </c>
      <c r="O161" s="204" t="str">
        <f t="shared" si="48"/>
        <v>OK</v>
      </c>
      <c r="P161" s="204" t="str">
        <f t="shared" si="48"/>
        <v>OK</v>
      </c>
      <c r="Q161" s="204" t="str">
        <f t="shared" si="48"/>
        <v>OK</v>
      </c>
      <c r="R161" s="204" t="str">
        <f t="shared" si="48"/>
        <v>OK</v>
      </c>
      <c r="S161" s="204" t="str">
        <f t="shared" si="48"/>
        <v>OK</v>
      </c>
      <c r="T161" s="204" t="str">
        <f t="shared" si="48"/>
        <v>OK</v>
      </c>
      <c r="U161" s="204" t="str">
        <f t="shared" si="48"/>
        <v>OK</v>
      </c>
      <c r="V161" s="204" t="str">
        <f t="shared" si="48"/>
        <v>OK</v>
      </c>
      <c r="W161" s="204" t="str">
        <f t="shared" si="48"/>
        <v>OK</v>
      </c>
      <c r="X161" s="204" t="str">
        <f t="shared" si="48"/>
        <v>OK</v>
      </c>
      <c r="Y161" s="204" t="str">
        <f t="shared" si="48"/>
        <v>OK</v>
      </c>
      <c r="Z161" s="204" t="str">
        <f t="shared" si="48"/>
        <v>OK</v>
      </c>
      <c r="AA161" s="204" t="str">
        <f t="shared" si="48"/>
        <v>OK</v>
      </c>
      <c r="AB161" s="204" t="str">
        <f t="shared" si="48"/>
        <v>OK</v>
      </c>
      <c r="AC161" s="204" t="str">
        <f t="shared" si="48"/>
        <v>OK</v>
      </c>
      <c r="AD161" s="204" t="str">
        <f t="shared" si="48"/>
        <v>OK</v>
      </c>
      <c r="AE161" s="204" t="str">
        <f t="shared" si="48"/>
        <v>OK</v>
      </c>
      <c r="AF161" s="204" t="str">
        <f t="shared" si="48"/>
        <v>OK</v>
      </c>
      <c r="AG161" s="204" t="str">
        <f t="shared" si="48"/>
        <v>OK</v>
      </c>
      <c r="AH161" s="204" t="str">
        <f t="shared" si="48"/>
        <v>OK</v>
      </c>
      <c r="AI161" s="204" t="str">
        <f t="shared" si="48"/>
        <v>OK</v>
      </c>
      <c r="AJ161" s="204" t="str">
        <f t="shared" si="48"/>
        <v>OK</v>
      </c>
      <c r="AK161" s="204" t="str">
        <f t="shared" si="48"/>
        <v>OK</v>
      </c>
      <c r="AL161" s="203" t="str">
        <f t="shared" si="48"/>
        <v>OK</v>
      </c>
    </row>
    <row r="162" spans="2:39" hidden="1" outlineLevel="2">
      <c r="B162" s="211" t="s">
        <v>61</v>
      </c>
      <c r="C162" s="210"/>
      <c r="D162" s="209" t="s">
        <v>60</v>
      </c>
      <c r="E162" s="208" t="s">
        <v>39</v>
      </c>
      <c r="F162" s="207" t="s">
        <v>39</v>
      </c>
      <c r="G162" s="207" t="s">
        <v>39</v>
      </c>
      <c r="H162" s="206" t="s">
        <v>39</v>
      </c>
      <c r="I162" s="205" t="str">
        <f t="shared" ref="I162:AL162" si="49">IF(I39&gt;=I44,"OK","BŁĄD")</f>
        <v>OK</v>
      </c>
      <c r="J162" s="204" t="str">
        <f t="shared" si="49"/>
        <v>OK</v>
      </c>
      <c r="K162" s="204" t="str">
        <f t="shared" si="49"/>
        <v>OK</v>
      </c>
      <c r="L162" s="204" t="str">
        <f t="shared" si="49"/>
        <v>OK</v>
      </c>
      <c r="M162" s="204" t="str">
        <f t="shared" si="49"/>
        <v>OK</v>
      </c>
      <c r="N162" s="204" t="str">
        <f t="shared" si="49"/>
        <v>OK</v>
      </c>
      <c r="O162" s="204" t="str">
        <f t="shared" si="49"/>
        <v>OK</v>
      </c>
      <c r="P162" s="204" t="str">
        <f t="shared" si="49"/>
        <v>OK</v>
      </c>
      <c r="Q162" s="204" t="str">
        <f t="shared" si="49"/>
        <v>OK</v>
      </c>
      <c r="R162" s="204" t="str">
        <f t="shared" si="49"/>
        <v>OK</v>
      </c>
      <c r="S162" s="204" t="str">
        <f t="shared" si="49"/>
        <v>OK</v>
      </c>
      <c r="T162" s="204" t="str">
        <f t="shared" si="49"/>
        <v>OK</v>
      </c>
      <c r="U162" s="204" t="str">
        <f t="shared" si="49"/>
        <v>OK</v>
      </c>
      <c r="V162" s="204" t="str">
        <f t="shared" si="49"/>
        <v>OK</v>
      </c>
      <c r="W162" s="204" t="str">
        <f t="shared" si="49"/>
        <v>OK</v>
      </c>
      <c r="X162" s="204" t="str">
        <f t="shared" si="49"/>
        <v>OK</v>
      </c>
      <c r="Y162" s="204" t="str">
        <f t="shared" si="49"/>
        <v>OK</v>
      </c>
      <c r="Z162" s="204" t="str">
        <f t="shared" si="49"/>
        <v>OK</v>
      </c>
      <c r="AA162" s="204" t="str">
        <f t="shared" si="49"/>
        <v>OK</v>
      </c>
      <c r="AB162" s="204" t="str">
        <f t="shared" si="49"/>
        <v>OK</v>
      </c>
      <c r="AC162" s="204" t="str">
        <f t="shared" si="49"/>
        <v>OK</v>
      </c>
      <c r="AD162" s="204" t="str">
        <f t="shared" si="49"/>
        <v>OK</v>
      </c>
      <c r="AE162" s="204" t="str">
        <f t="shared" si="49"/>
        <v>OK</v>
      </c>
      <c r="AF162" s="204" t="str">
        <f t="shared" si="49"/>
        <v>OK</v>
      </c>
      <c r="AG162" s="204" t="str">
        <f t="shared" si="49"/>
        <v>OK</v>
      </c>
      <c r="AH162" s="204" t="str">
        <f t="shared" si="49"/>
        <v>OK</v>
      </c>
      <c r="AI162" s="204" t="str">
        <f t="shared" si="49"/>
        <v>OK</v>
      </c>
      <c r="AJ162" s="204" t="str">
        <f t="shared" si="49"/>
        <v>OK</v>
      </c>
      <c r="AK162" s="204" t="str">
        <f t="shared" si="49"/>
        <v>OK</v>
      </c>
      <c r="AL162" s="203" t="str">
        <f t="shared" si="49"/>
        <v>OK</v>
      </c>
    </row>
    <row r="163" spans="2:39" hidden="1" outlineLevel="2">
      <c r="B163" s="211" t="s">
        <v>59</v>
      </c>
      <c r="C163" s="210"/>
      <c r="D163" s="209" t="s">
        <v>58</v>
      </c>
      <c r="E163" s="208" t="s">
        <v>39</v>
      </c>
      <c r="F163" s="207" t="s">
        <v>39</v>
      </c>
      <c r="G163" s="207" t="s">
        <v>39</v>
      </c>
      <c r="H163" s="206" t="s">
        <v>39</v>
      </c>
      <c r="I163" s="205" t="str">
        <f t="shared" ref="I163:AL163" si="50">IF(I39&gt;=I94,"OK","BŁĄD")</f>
        <v>OK</v>
      </c>
      <c r="J163" s="204" t="str">
        <f t="shared" si="50"/>
        <v>OK</v>
      </c>
      <c r="K163" s="204" t="str">
        <f t="shared" si="50"/>
        <v>OK</v>
      </c>
      <c r="L163" s="204" t="str">
        <f t="shared" si="50"/>
        <v>OK</v>
      </c>
      <c r="M163" s="204" t="str">
        <f t="shared" si="50"/>
        <v>OK</v>
      </c>
      <c r="N163" s="204" t="str">
        <f t="shared" si="50"/>
        <v>OK</v>
      </c>
      <c r="O163" s="204" t="str">
        <f t="shared" si="50"/>
        <v>OK</v>
      </c>
      <c r="P163" s="204" t="str">
        <f t="shared" si="50"/>
        <v>OK</v>
      </c>
      <c r="Q163" s="204" t="str">
        <f t="shared" si="50"/>
        <v>OK</v>
      </c>
      <c r="R163" s="204" t="str">
        <f t="shared" si="50"/>
        <v>OK</v>
      </c>
      <c r="S163" s="204" t="str">
        <f t="shared" si="50"/>
        <v>OK</v>
      </c>
      <c r="T163" s="204" t="str">
        <f t="shared" si="50"/>
        <v>OK</v>
      </c>
      <c r="U163" s="204" t="str">
        <f t="shared" si="50"/>
        <v>OK</v>
      </c>
      <c r="V163" s="204" t="str">
        <f t="shared" si="50"/>
        <v>OK</v>
      </c>
      <c r="W163" s="204" t="str">
        <f t="shared" si="50"/>
        <v>OK</v>
      </c>
      <c r="X163" s="204" t="str">
        <f t="shared" si="50"/>
        <v>OK</v>
      </c>
      <c r="Y163" s="204" t="str">
        <f t="shared" si="50"/>
        <v>OK</v>
      </c>
      <c r="Z163" s="204" t="str">
        <f t="shared" si="50"/>
        <v>OK</v>
      </c>
      <c r="AA163" s="204" t="str">
        <f t="shared" si="50"/>
        <v>OK</v>
      </c>
      <c r="AB163" s="204" t="str">
        <f t="shared" si="50"/>
        <v>OK</v>
      </c>
      <c r="AC163" s="204" t="str">
        <f t="shared" si="50"/>
        <v>OK</v>
      </c>
      <c r="AD163" s="204" t="str">
        <f t="shared" si="50"/>
        <v>OK</v>
      </c>
      <c r="AE163" s="204" t="str">
        <f t="shared" si="50"/>
        <v>OK</v>
      </c>
      <c r="AF163" s="204" t="str">
        <f t="shared" si="50"/>
        <v>OK</v>
      </c>
      <c r="AG163" s="204" t="str">
        <f t="shared" si="50"/>
        <v>OK</v>
      </c>
      <c r="AH163" s="204" t="str">
        <f t="shared" si="50"/>
        <v>OK</v>
      </c>
      <c r="AI163" s="204" t="str">
        <f t="shared" si="50"/>
        <v>OK</v>
      </c>
      <c r="AJ163" s="204" t="str">
        <f t="shared" si="50"/>
        <v>OK</v>
      </c>
      <c r="AK163" s="204" t="str">
        <f t="shared" si="50"/>
        <v>OK</v>
      </c>
      <c r="AL163" s="203" t="str">
        <f t="shared" si="50"/>
        <v>OK</v>
      </c>
    </row>
    <row r="164" spans="2:39" hidden="1" outlineLevel="2">
      <c r="B164" s="211" t="s">
        <v>57</v>
      </c>
      <c r="C164" s="210"/>
      <c r="D164" s="209" t="s">
        <v>56</v>
      </c>
      <c r="E164" s="208" t="s">
        <v>39</v>
      </c>
      <c r="F164" s="207" t="s">
        <v>39</v>
      </c>
      <c r="G164" s="207" t="s">
        <v>39</v>
      </c>
      <c r="H164" s="206" t="s">
        <v>39</v>
      </c>
      <c r="I164" s="205" t="str">
        <f t="shared" ref="I164:AL164" si="51">+IF(I40&gt;=I41,"OK","BŁĄD")</f>
        <v>OK</v>
      </c>
      <c r="J164" s="204" t="str">
        <f t="shared" si="51"/>
        <v>OK</v>
      </c>
      <c r="K164" s="204" t="str">
        <f t="shared" si="51"/>
        <v>OK</v>
      </c>
      <c r="L164" s="204" t="str">
        <f t="shared" si="51"/>
        <v>OK</v>
      </c>
      <c r="M164" s="204" t="str">
        <f t="shared" si="51"/>
        <v>OK</v>
      </c>
      <c r="N164" s="204" t="str">
        <f t="shared" si="51"/>
        <v>OK</v>
      </c>
      <c r="O164" s="204" t="str">
        <f t="shared" si="51"/>
        <v>OK</v>
      </c>
      <c r="P164" s="204" t="str">
        <f t="shared" si="51"/>
        <v>OK</v>
      </c>
      <c r="Q164" s="204" t="str">
        <f t="shared" si="51"/>
        <v>OK</v>
      </c>
      <c r="R164" s="204" t="str">
        <f t="shared" si="51"/>
        <v>OK</v>
      </c>
      <c r="S164" s="204" t="str">
        <f t="shared" si="51"/>
        <v>OK</v>
      </c>
      <c r="T164" s="204" t="str">
        <f t="shared" si="51"/>
        <v>OK</v>
      </c>
      <c r="U164" s="204" t="str">
        <f t="shared" si="51"/>
        <v>OK</v>
      </c>
      <c r="V164" s="204" t="str">
        <f t="shared" si="51"/>
        <v>OK</v>
      </c>
      <c r="W164" s="204" t="str">
        <f t="shared" si="51"/>
        <v>OK</v>
      </c>
      <c r="X164" s="204" t="str">
        <f t="shared" si="51"/>
        <v>OK</v>
      </c>
      <c r="Y164" s="204" t="str">
        <f t="shared" si="51"/>
        <v>OK</v>
      </c>
      <c r="Z164" s="204" t="str">
        <f t="shared" si="51"/>
        <v>OK</v>
      </c>
      <c r="AA164" s="204" t="str">
        <f t="shared" si="51"/>
        <v>OK</v>
      </c>
      <c r="AB164" s="204" t="str">
        <f t="shared" si="51"/>
        <v>OK</v>
      </c>
      <c r="AC164" s="204" t="str">
        <f t="shared" si="51"/>
        <v>OK</v>
      </c>
      <c r="AD164" s="204" t="str">
        <f t="shared" si="51"/>
        <v>OK</v>
      </c>
      <c r="AE164" s="204" t="str">
        <f t="shared" si="51"/>
        <v>OK</v>
      </c>
      <c r="AF164" s="204" t="str">
        <f t="shared" si="51"/>
        <v>OK</v>
      </c>
      <c r="AG164" s="204" t="str">
        <f t="shared" si="51"/>
        <v>OK</v>
      </c>
      <c r="AH164" s="204" t="str">
        <f t="shared" si="51"/>
        <v>OK</v>
      </c>
      <c r="AI164" s="204" t="str">
        <f t="shared" si="51"/>
        <v>OK</v>
      </c>
      <c r="AJ164" s="204" t="str">
        <f t="shared" si="51"/>
        <v>OK</v>
      </c>
      <c r="AK164" s="204" t="str">
        <f t="shared" si="51"/>
        <v>OK</v>
      </c>
      <c r="AL164" s="203" t="str">
        <f t="shared" si="51"/>
        <v>OK</v>
      </c>
    </row>
    <row r="165" spans="2:39" hidden="1" outlineLevel="2">
      <c r="B165" s="211" t="s">
        <v>55</v>
      </c>
      <c r="C165" s="210"/>
      <c r="D165" s="209" t="s">
        <v>54</v>
      </c>
      <c r="E165" s="208" t="s">
        <v>39</v>
      </c>
      <c r="F165" s="207" t="s">
        <v>39</v>
      </c>
      <c r="G165" s="207" t="s">
        <v>39</v>
      </c>
      <c r="H165" s="206" t="s">
        <v>39</v>
      </c>
      <c r="I165" s="205" t="str">
        <f t="shared" ref="I165:AL165" si="52">IF(I44&gt;=I85,"OK","BŁĄD")</f>
        <v>OK</v>
      </c>
      <c r="J165" s="204" t="str">
        <f t="shared" si="52"/>
        <v>OK</v>
      </c>
      <c r="K165" s="204" t="str">
        <f t="shared" si="52"/>
        <v>OK</v>
      </c>
      <c r="L165" s="204" t="str">
        <f t="shared" si="52"/>
        <v>OK</v>
      </c>
      <c r="M165" s="204" t="str">
        <f t="shared" si="52"/>
        <v>OK</v>
      </c>
      <c r="N165" s="204" t="str">
        <f t="shared" si="52"/>
        <v>OK</v>
      </c>
      <c r="O165" s="204" t="str">
        <f t="shared" si="52"/>
        <v>OK</v>
      </c>
      <c r="P165" s="204" t="str">
        <f t="shared" si="52"/>
        <v>OK</v>
      </c>
      <c r="Q165" s="204" t="str">
        <f t="shared" si="52"/>
        <v>OK</v>
      </c>
      <c r="R165" s="204" t="str">
        <f t="shared" si="52"/>
        <v>OK</v>
      </c>
      <c r="S165" s="204" t="str">
        <f t="shared" si="52"/>
        <v>OK</v>
      </c>
      <c r="T165" s="204" t="str">
        <f t="shared" si="52"/>
        <v>OK</v>
      </c>
      <c r="U165" s="204" t="str">
        <f t="shared" si="52"/>
        <v>OK</v>
      </c>
      <c r="V165" s="204" t="str">
        <f t="shared" si="52"/>
        <v>OK</v>
      </c>
      <c r="W165" s="204" t="str">
        <f t="shared" si="52"/>
        <v>OK</v>
      </c>
      <c r="X165" s="204" t="str">
        <f t="shared" si="52"/>
        <v>OK</v>
      </c>
      <c r="Y165" s="204" t="str">
        <f t="shared" si="52"/>
        <v>OK</v>
      </c>
      <c r="Z165" s="204" t="str">
        <f t="shared" si="52"/>
        <v>OK</v>
      </c>
      <c r="AA165" s="204" t="str">
        <f t="shared" si="52"/>
        <v>OK</v>
      </c>
      <c r="AB165" s="204" t="str">
        <f t="shared" si="52"/>
        <v>OK</v>
      </c>
      <c r="AC165" s="204" t="str">
        <f t="shared" si="52"/>
        <v>OK</v>
      </c>
      <c r="AD165" s="204" t="str">
        <f t="shared" si="52"/>
        <v>OK</v>
      </c>
      <c r="AE165" s="204" t="str">
        <f t="shared" si="52"/>
        <v>OK</v>
      </c>
      <c r="AF165" s="204" t="str">
        <f t="shared" si="52"/>
        <v>OK</v>
      </c>
      <c r="AG165" s="204" t="str">
        <f t="shared" si="52"/>
        <v>OK</v>
      </c>
      <c r="AH165" s="204" t="str">
        <f t="shared" si="52"/>
        <v>OK</v>
      </c>
      <c r="AI165" s="204" t="str">
        <f t="shared" si="52"/>
        <v>OK</v>
      </c>
      <c r="AJ165" s="204" t="str">
        <f t="shared" si="52"/>
        <v>OK</v>
      </c>
      <c r="AK165" s="204" t="str">
        <f t="shared" si="52"/>
        <v>OK</v>
      </c>
      <c r="AL165" s="203" t="str">
        <f t="shared" si="52"/>
        <v>OK</v>
      </c>
    </row>
    <row r="166" spans="2:39" hidden="1" outlineLevel="2">
      <c r="B166" s="202" t="s">
        <v>53</v>
      </c>
      <c r="C166" s="201"/>
      <c r="D166" s="200" t="s">
        <v>52</v>
      </c>
      <c r="E166" s="199" t="s">
        <v>39</v>
      </c>
      <c r="F166" s="198" t="s">
        <v>39</v>
      </c>
      <c r="G166" s="198" t="s">
        <v>39</v>
      </c>
      <c r="H166" s="197" t="s">
        <v>39</v>
      </c>
      <c r="I166" s="196" t="str">
        <f t="shared" ref="I166:AL166" si="53">IF(I21&lt;&gt;0,IF(I22&lt;&gt;0,"OK","BŁĄD"),"N/D")</f>
        <v>OK</v>
      </c>
      <c r="J166" s="195" t="str">
        <f t="shared" si="53"/>
        <v>OK</v>
      </c>
      <c r="K166" s="195" t="str">
        <f t="shared" si="53"/>
        <v>OK</v>
      </c>
      <c r="L166" s="195" t="str">
        <f t="shared" si="53"/>
        <v>OK</v>
      </c>
      <c r="M166" s="195" t="str">
        <f t="shared" si="53"/>
        <v>OK</v>
      </c>
      <c r="N166" s="195" t="str">
        <f t="shared" si="53"/>
        <v>OK</v>
      </c>
      <c r="O166" s="195" t="str">
        <f t="shared" si="53"/>
        <v>OK</v>
      </c>
      <c r="P166" s="195" t="str">
        <f t="shared" si="53"/>
        <v>OK</v>
      </c>
      <c r="Q166" s="195" t="str">
        <f t="shared" si="53"/>
        <v>OK</v>
      </c>
      <c r="R166" s="195" t="str">
        <f t="shared" si="53"/>
        <v>OK</v>
      </c>
      <c r="S166" s="195" t="str">
        <f t="shared" si="53"/>
        <v>OK</v>
      </c>
      <c r="T166" s="195" t="str">
        <f t="shared" si="53"/>
        <v>OK</v>
      </c>
      <c r="U166" s="195" t="str">
        <f t="shared" si="53"/>
        <v>N/D</v>
      </c>
      <c r="V166" s="195" t="str">
        <f t="shared" si="53"/>
        <v>N/D</v>
      </c>
      <c r="W166" s="195" t="str">
        <f t="shared" si="53"/>
        <v>N/D</v>
      </c>
      <c r="X166" s="195" t="str">
        <f t="shared" si="53"/>
        <v>N/D</v>
      </c>
      <c r="Y166" s="195" t="str">
        <f t="shared" si="53"/>
        <v>N/D</v>
      </c>
      <c r="Z166" s="195" t="str">
        <f t="shared" si="53"/>
        <v>N/D</v>
      </c>
      <c r="AA166" s="195" t="str">
        <f t="shared" si="53"/>
        <v>N/D</v>
      </c>
      <c r="AB166" s="195" t="str">
        <f t="shared" si="53"/>
        <v>N/D</v>
      </c>
      <c r="AC166" s="195" t="str">
        <f t="shared" si="53"/>
        <v>N/D</v>
      </c>
      <c r="AD166" s="195" t="str">
        <f t="shared" si="53"/>
        <v>N/D</v>
      </c>
      <c r="AE166" s="195" t="str">
        <f t="shared" si="53"/>
        <v>N/D</v>
      </c>
      <c r="AF166" s="195" t="str">
        <f t="shared" si="53"/>
        <v>N/D</v>
      </c>
      <c r="AG166" s="195" t="str">
        <f t="shared" si="53"/>
        <v>N/D</v>
      </c>
      <c r="AH166" s="195" t="str">
        <f t="shared" si="53"/>
        <v>N/D</v>
      </c>
      <c r="AI166" s="195" t="str">
        <f t="shared" si="53"/>
        <v>N/D</v>
      </c>
      <c r="AJ166" s="195" t="str">
        <f t="shared" si="53"/>
        <v>N/D</v>
      </c>
      <c r="AK166" s="195" t="str">
        <f t="shared" si="53"/>
        <v>N/D</v>
      </c>
      <c r="AL166" s="194" t="str">
        <f t="shared" si="53"/>
        <v>N/D</v>
      </c>
    </row>
    <row r="167" spans="2:39" hidden="1" outlineLevel="2">
      <c r="B167" s="193"/>
      <c r="C167" s="193"/>
      <c r="D167" s="193"/>
      <c r="E167" s="191"/>
      <c r="F167" s="191"/>
      <c r="G167" s="191"/>
      <c r="H167" s="191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190"/>
    </row>
    <row r="168" spans="2:39" hidden="1" outlineLevel="1">
      <c r="B168" s="193"/>
      <c r="C168" s="193"/>
      <c r="D168" s="192" t="s">
        <v>51</v>
      </c>
      <c r="E168" s="191"/>
      <c r="F168" s="191"/>
      <c r="G168" s="191"/>
      <c r="H168" s="191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</row>
    <row r="169" spans="2:39" ht="15" hidden="1" outlineLevel="2">
      <c r="B169" s="52"/>
      <c r="C169" s="52"/>
      <c r="D169" s="189" t="s">
        <v>50</v>
      </c>
      <c r="E169" s="188">
        <f t="shared" ref="E169:AL169" si="54">E6+E13</f>
        <v>16360657.9</v>
      </c>
      <c r="F169" s="187">
        <f t="shared" si="54"/>
        <v>15865865.16</v>
      </c>
      <c r="G169" s="187">
        <f t="shared" si="54"/>
        <v>18420868.920000002</v>
      </c>
      <c r="H169" s="186">
        <f t="shared" si="54"/>
        <v>18510610.399999999</v>
      </c>
      <c r="I169" s="185">
        <f t="shared" si="54"/>
        <v>18901944</v>
      </c>
      <c r="J169" s="184">
        <f t="shared" si="54"/>
        <v>18778000</v>
      </c>
      <c r="K169" s="184">
        <f t="shared" si="54"/>
        <v>17100000</v>
      </c>
      <c r="L169" s="184">
        <f t="shared" si="54"/>
        <v>17043950</v>
      </c>
      <c r="M169" s="184">
        <f t="shared" si="54"/>
        <v>17237269</v>
      </c>
      <c r="N169" s="184">
        <f t="shared" si="54"/>
        <v>17745387</v>
      </c>
      <c r="O169" s="184">
        <f t="shared" si="54"/>
        <v>18268748</v>
      </c>
      <c r="P169" s="184">
        <f t="shared" si="54"/>
        <v>18807811</v>
      </c>
      <c r="Q169" s="184">
        <f t="shared" si="54"/>
        <v>19363045</v>
      </c>
      <c r="R169" s="184">
        <f t="shared" si="54"/>
        <v>19934936</v>
      </c>
      <c r="S169" s="184">
        <f t="shared" si="54"/>
        <v>20523984</v>
      </c>
      <c r="T169" s="184">
        <f t="shared" si="54"/>
        <v>21130704</v>
      </c>
      <c r="U169" s="184">
        <f t="shared" si="54"/>
        <v>21755625</v>
      </c>
      <c r="V169" s="184">
        <f t="shared" si="54"/>
        <v>0</v>
      </c>
      <c r="W169" s="184">
        <f t="shared" si="54"/>
        <v>0</v>
      </c>
      <c r="X169" s="184">
        <f t="shared" si="54"/>
        <v>0</v>
      </c>
      <c r="Y169" s="184">
        <f t="shared" si="54"/>
        <v>0</v>
      </c>
      <c r="Z169" s="184">
        <f t="shared" si="54"/>
        <v>0</v>
      </c>
      <c r="AA169" s="184">
        <f t="shared" si="54"/>
        <v>0</v>
      </c>
      <c r="AB169" s="184">
        <f t="shared" si="54"/>
        <v>0</v>
      </c>
      <c r="AC169" s="184">
        <f t="shared" si="54"/>
        <v>0</v>
      </c>
      <c r="AD169" s="184">
        <f t="shared" si="54"/>
        <v>0</v>
      </c>
      <c r="AE169" s="184">
        <f t="shared" si="54"/>
        <v>0</v>
      </c>
      <c r="AF169" s="184">
        <f t="shared" si="54"/>
        <v>0</v>
      </c>
      <c r="AG169" s="184">
        <f t="shared" si="54"/>
        <v>0</v>
      </c>
      <c r="AH169" s="184">
        <f t="shared" si="54"/>
        <v>0</v>
      </c>
      <c r="AI169" s="184">
        <f t="shared" si="54"/>
        <v>0</v>
      </c>
      <c r="AJ169" s="184">
        <f t="shared" si="54"/>
        <v>0</v>
      </c>
      <c r="AK169" s="184">
        <f t="shared" si="54"/>
        <v>0</v>
      </c>
      <c r="AL169" s="183">
        <f t="shared" si="54"/>
        <v>0</v>
      </c>
      <c r="AM169" s="52"/>
    </row>
    <row r="170" spans="2:39" ht="15" hidden="1" outlineLevel="2">
      <c r="B170" s="52"/>
      <c r="C170" s="52"/>
      <c r="D170" s="182" t="s">
        <v>49</v>
      </c>
      <c r="E170" s="181">
        <f t="shared" ref="E170:AL170" si="55">E17+E23</f>
        <v>18764728.809999999</v>
      </c>
      <c r="F170" s="178">
        <f t="shared" si="55"/>
        <v>22266908</v>
      </c>
      <c r="G170" s="178">
        <f t="shared" si="55"/>
        <v>20656887.920000002</v>
      </c>
      <c r="H170" s="176">
        <f t="shared" si="55"/>
        <v>18408779.099999998</v>
      </c>
      <c r="I170" s="175">
        <f t="shared" si="55"/>
        <v>19313944</v>
      </c>
      <c r="J170" s="174">
        <f t="shared" si="55"/>
        <v>18278000</v>
      </c>
      <c r="K170" s="174">
        <f t="shared" si="55"/>
        <v>17000000</v>
      </c>
      <c r="L170" s="174">
        <f t="shared" si="55"/>
        <v>16643950</v>
      </c>
      <c r="M170" s="174">
        <f t="shared" si="55"/>
        <v>16637269</v>
      </c>
      <c r="N170" s="174">
        <f t="shared" si="55"/>
        <v>17145387</v>
      </c>
      <c r="O170" s="174">
        <f t="shared" si="55"/>
        <v>17068748</v>
      </c>
      <c r="P170" s="174">
        <f t="shared" si="55"/>
        <v>17507811</v>
      </c>
      <c r="Q170" s="174">
        <f t="shared" si="55"/>
        <v>18163045</v>
      </c>
      <c r="R170" s="174">
        <f t="shared" si="55"/>
        <v>18604936</v>
      </c>
      <c r="S170" s="174">
        <f t="shared" si="55"/>
        <v>19013984</v>
      </c>
      <c r="T170" s="174">
        <f t="shared" si="55"/>
        <v>19582704</v>
      </c>
      <c r="U170" s="174">
        <f t="shared" si="55"/>
        <v>21290625</v>
      </c>
      <c r="V170" s="174">
        <f t="shared" si="55"/>
        <v>0</v>
      </c>
      <c r="W170" s="174">
        <f t="shared" si="55"/>
        <v>0</v>
      </c>
      <c r="X170" s="174">
        <f t="shared" si="55"/>
        <v>0</v>
      </c>
      <c r="Y170" s="174">
        <f t="shared" si="55"/>
        <v>0</v>
      </c>
      <c r="Z170" s="174">
        <f t="shared" si="55"/>
        <v>0</v>
      </c>
      <c r="AA170" s="174">
        <f t="shared" si="55"/>
        <v>0</v>
      </c>
      <c r="AB170" s="174">
        <f t="shared" si="55"/>
        <v>0</v>
      </c>
      <c r="AC170" s="174">
        <f t="shared" si="55"/>
        <v>0</v>
      </c>
      <c r="AD170" s="174">
        <f t="shared" si="55"/>
        <v>0</v>
      </c>
      <c r="AE170" s="174">
        <f t="shared" si="55"/>
        <v>0</v>
      </c>
      <c r="AF170" s="174">
        <f t="shared" si="55"/>
        <v>0</v>
      </c>
      <c r="AG170" s="174">
        <f t="shared" si="55"/>
        <v>0</v>
      </c>
      <c r="AH170" s="174">
        <f t="shared" si="55"/>
        <v>0</v>
      </c>
      <c r="AI170" s="174">
        <f t="shared" si="55"/>
        <v>0</v>
      </c>
      <c r="AJ170" s="174">
        <f t="shared" si="55"/>
        <v>0</v>
      </c>
      <c r="AK170" s="174">
        <f t="shared" si="55"/>
        <v>0</v>
      </c>
      <c r="AL170" s="173">
        <f t="shared" si="55"/>
        <v>0</v>
      </c>
      <c r="AM170" s="52"/>
    </row>
    <row r="171" spans="2:39" ht="15" hidden="1" outlineLevel="2">
      <c r="B171" s="52"/>
      <c r="C171" s="52"/>
      <c r="D171" s="182" t="s">
        <v>48</v>
      </c>
      <c r="E171" s="181">
        <f t="shared" ref="E171:AL171" si="56">E5-E16</f>
        <v>-2404070.9099999983</v>
      </c>
      <c r="F171" s="178">
        <f t="shared" si="56"/>
        <v>-6401042.8399999999</v>
      </c>
      <c r="G171" s="178">
        <f t="shared" si="56"/>
        <v>-2236019</v>
      </c>
      <c r="H171" s="176">
        <f t="shared" si="56"/>
        <v>101831.29999999702</v>
      </c>
      <c r="I171" s="175">
        <f t="shared" si="56"/>
        <v>-412000</v>
      </c>
      <c r="J171" s="174">
        <f t="shared" si="56"/>
        <v>500000</v>
      </c>
      <c r="K171" s="174">
        <f t="shared" si="56"/>
        <v>100000</v>
      </c>
      <c r="L171" s="174">
        <f t="shared" si="56"/>
        <v>400000</v>
      </c>
      <c r="M171" s="174">
        <f t="shared" si="56"/>
        <v>600000</v>
      </c>
      <c r="N171" s="174">
        <f t="shared" si="56"/>
        <v>600000</v>
      </c>
      <c r="O171" s="174">
        <f t="shared" si="56"/>
        <v>1200000</v>
      </c>
      <c r="P171" s="174">
        <f t="shared" si="56"/>
        <v>1300000</v>
      </c>
      <c r="Q171" s="174">
        <f t="shared" si="56"/>
        <v>1200000</v>
      </c>
      <c r="R171" s="174">
        <f t="shared" si="56"/>
        <v>1330000</v>
      </c>
      <c r="S171" s="174">
        <f t="shared" si="56"/>
        <v>1510000</v>
      </c>
      <c r="T171" s="174">
        <f t="shared" si="56"/>
        <v>1548000</v>
      </c>
      <c r="U171" s="174">
        <f t="shared" si="56"/>
        <v>465000</v>
      </c>
      <c r="V171" s="174">
        <f t="shared" si="56"/>
        <v>0</v>
      </c>
      <c r="W171" s="174">
        <f t="shared" si="56"/>
        <v>0</v>
      </c>
      <c r="X171" s="174">
        <f t="shared" si="56"/>
        <v>0</v>
      </c>
      <c r="Y171" s="174">
        <f t="shared" si="56"/>
        <v>0</v>
      </c>
      <c r="Z171" s="174">
        <f t="shared" si="56"/>
        <v>0</v>
      </c>
      <c r="AA171" s="174">
        <f t="shared" si="56"/>
        <v>0</v>
      </c>
      <c r="AB171" s="174">
        <f t="shared" si="56"/>
        <v>0</v>
      </c>
      <c r="AC171" s="174">
        <f t="shared" si="56"/>
        <v>0</v>
      </c>
      <c r="AD171" s="174">
        <f t="shared" si="56"/>
        <v>0</v>
      </c>
      <c r="AE171" s="174">
        <f t="shared" si="56"/>
        <v>0</v>
      </c>
      <c r="AF171" s="174">
        <f t="shared" si="56"/>
        <v>0</v>
      </c>
      <c r="AG171" s="174">
        <f t="shared" si="56"/>
        <v>0</v>
      </c>
      <c r="AH171" s="174">
        <f t="shared" si="56"/>
        <v>0</v>
      </c>
      <c r="AI171" s="174">
        <f t="shared" si="56"/>
        <v>0</v>
      </c>
      <c r="AJ171" s="174">
        <f t="shared" si="56"/>
        <v>0</v>
      </c>
      <c r="AK171" s="174">
        <f t="shared" si="56"/>
        <v>0</v>
      </c>
      <c r="AL171" s="173">
        <f t="shared" si="56"/>
        <v>0</v>
      </c>
      <c r="AM171" s="52"/>
    </row>
    <row r="172" spans="2:39" ht="15" hidden="1" outlineLevel="2">
      <c r="B172" s="52"/>
      <c r="C172" s="52"/>
      <c r="D172" s="180" t="s">
        <v>47</v>
      </c>
      <c r="E172" s="179" t="s">
        <v>39</v>
      </c>
      <c r="F172" s="178">
        <f>E39+F30-F35+(F94-E94)+F99</f>
        <v>12575068.789999999</v>
      </c>
      <c r="G172" s="177" t="s">
        <v>39</v>
      </c>
      <c r="H172" s="176">
        <f>F39+H30-H35+(H94-F94)+H99</f>
        <v>12447872.24</v>
      </c>
      <c r="I172" s="175">
        <f t="shared" ref="I172:AL172" si="57">H39+I30-I35+(I94-H94)+I99</f>
        <v>10772700</v>
      </c>
      <c r="J172" s="174">
        <f t="shared" si="57"/>
        <v>10262850</v>
      </c>
      <c r="K172" s="174">
        <f t="shared" si="57"/>
        <v>10153000</v>
      </c>
      <c r="L172" s="174">
        <f t="shared" si="57"/>
        <v>9753000</v>
      </c>
      <c r="M172" s="174">
        <f t="shared" si="57"/>
        <v>9153000</v>
      </c>
      <c r="N172" s="174">
        <f t="shared" si="57"/>
        <v>8553000</v>
      </c>
      <c r="O172" s="174">
        <f t="shared" si="57"/>
        <v>7353000</v>
      </c>
      <c r="P172" s="174">
        <f t="shared" si="57"/>
        <v>6053000</v>
      </c>
      <c r="Q172" s="174">
        <f t="shared" si="57"/>
        <v>4853000</v>
      </c>
      <c r="R172" s="174">
        <f t="shared" si="57"/>
        <v>3523000</v>
      </c>
      <c r="S172" s="174">
        <f t="shared" si="57"/>
        <v>2013000</v>
      </c>
      <c r="T172" s="174">
        <f t="shared" si="57"/>
        <v>465000</v>
      </c>
      <c r="U172" s="174">
        <f t="shared" si="57"/>
        <v>0</v>
      </c>
      <c r="V172" s="174">
        <f t="shared" si="57"/>
        <v>0</v>
      </c>
      <c r="W172" s="174">
        <f t="shared" si="57"/>
        <v>0</v>
      </c>
      <c r="X172" s="174">
        <f t="shared" si="57"/>
        <v>0</v>
      </c>
      <c r="Y172" s="174">
        <f t="shared" si="57"/>
        <v>0</v>
      </c>
      <c r="Z172" s="174">
        <f t="shared" si="57"/>
        <v>0</v>
      </c>
      <c r="AA172" s="174">
        <f t="shared" si="57"/>
        <v>0</v>
      </c>
      <c r="AB172" s="174">
        <f t="shared" si="57"/>
        <v>0</v>
      </c>
      <c r="AC172" s="174">
        <f t="shared" si="57"/>
        <v>0</v>
      </c>
      <c r="AD172" s="174">
        <f t="shared" si="57"/>
        <v>0</v>
      </c>
      <c r="AE172" s="174">
        <f t="shared" si="57"/>
        <v>0</v>
      </c>
      <c r="AF172" s="174">
        <f t="shared" si="57"/>
        <v>0</v>
      </c>
      <c r="AG172" s="174">
        <f t="shared" si="57"/>
        <v>0</v>
      </c>
      <c r="AH172" s="174">
        <f t="shared" si="57"/>
        <v>0</v>
      </c>
      <c r="AI172" s="174">
        <f t="shared" si="57"/>
        <v>0</v>
      </c>
      <c r="AJ172" s="174">
        <f t="shared" si="57"/>
        <v>0</v>
      </c>
      <c r="AK172" s="174">
        <f t="shared" si="57"/>
        <v>0</v>
      </c>
      <c r="AL172" s="173">
        <f t="shared" si="57"/>
        <v>0</v>
      </c>
      <c r="AM172" s="52"/>
    </row>
    <row r="173" spans="2:39" ht="24" hidden="1" outlineLevel="2">
      <c r="B173" s="52"/>
      <c r="C173" s="52"/>
      <c r="D173" s="172" t="s">
        <v>46</v>
      </c>
      <c r="E173" s="171" t="s">
        <v>39</v>
      </c>
      <c r="F173" s="170">
        <f>E85-(F87+F88+F89+F90)</f>
        <v>0</v>
      </c>
      <c r="G173" s="169" t="s">
        <v>39</v>
      </c>
      <c r="H173" s="168">
        <f>F85-(H87+H88+H89+H90)</f>
        <v>0</v>
      </c>
      <c r="I173" s="167">
        <f>H85-(I87+I88+I89+I90)</f>
        <v>0</v>
      </c>
      <c r="J173" s="166">
        <f t="shared" ref="J173:AL173" si="58">I85-(J87+J88+J89+J90)</f>
        <v>0</v>
      </c>
      <c r="K173" s="166">
        <f t="shared" si="58"/>
        <v>0</v>
      </c>
      <c r="L173" s="166">
        <f t="shared" si="58"/>
        <v>0</v>
      </c>
      <c r="M173" s="166">
        <f t="shared" si="58"/>
        <v>0</v>
      </c>
      <c r="N173" s="166">
        <f t="shared" si="58"/>
        <v>0</v>
      </c>
      <c r="O173" s="166">
        <f t="shared" si="58"/>
        <v>0</v>
      </c>
      <c r="P173" s="166">
        <f t="shared" si="58"/>
        <v>0</v>
      </c>
      <c r="Q173" s="166">
        <f t="shared" si="58"/>
        <v>0</v>
      </c>
      <c r="R173" s="166">
        <f t="shared" si="58"/>
        <v>0</v>
      </c>
      <c r="S173" s="166">
        <f t="shared" si="58"/>
        <v>0</v>
      </c>
      <c r="T173" s="166">
        <f t="shared" si="58"/>
        <v>0</v>
      </c>
      <c r="U173" s="166">
        <f t="shared" si="58"/>
        <v>0</v>
      </c>
      <c r="V173" s="166">
        <f t="shared" si="58"/>
        <v>0</v>
      </c>
      <c r="W173" s="166">
        <f t="shared" si="58"/>
        <v>0</v>
      </c>
      <c r="X173" s="166">
        <f t="shared" si="58"/>
        <v>0</v>
      </c>
      <c r="Y173" s="166">
        <f t="shared" si="58"/>
        <v>0</v>
      </c>
      <c r="Z173" s="166">
        <f t="shared" si="58"/>
        <v>0</v>
      </c>
      <c r="AA173" s="166">
        <f t="shared" si="58"/>
        <v>0</v>
      </c>
      <c r="AB173" s="166">
        <f t="shared" si="58"/>
        <v>0</v>
      </c>
      <c r="AC173" s="166">
        <f t="shared" si="58"/>
        <v>0</v>
      </c>
      <c r="AD173" s="166">
        <f t="shared" si="58"/>
        <v>0</v>
      </c>
      <c r="AE173" s="166">
        <f t="shared" si="58"/>
        <v>0</v>
      </c>
      <c r="AF173" s="166">
        <f t="shared" si="58"/>
        <v>0</v>
      </c>
      <c r="AG173" s="166">
        <f t="shared" si="58"/>
        <v>0</v>
      </c>
      <c r="AH173" s="166">
        <f t="shared" si="58"/>
        <v>0</v>
      </c>
      <c r="AI173" s="166">
        <f t="shared" si="58"/>
        <v>0</v>
      </c>
      <c r="AJ173" s="166">
        <f t="shared" si="58"/>
        <v>0</v>
      </c>
      <c r="AK173" s="166">
        <f t="shared" si="58"/>
        <v>0</v>
      </c>
      <c r="AL173" s="165">
        <f t="shared" si="58"/>
        <v>0</v>
      </c>
      <c r="AM173" s="52"/>
    </row>
    <row r="174" spans="2:39" hidden="1">
      <c r="E174" s="164"/>
      <c r="F174" s="164"/>
      <c r="G174" s="164"/>
      <c r="H174" s="164"/>
    </row>
    <row r="175" spans="2:39" ht="15.75" hidden="1">
      <c r="D175" s="163" t="s">
        <v>45</v>
      </c>
      <c r="E175" s="162"/>
      <c r="F175" s="162"/>
      <c r="G175" s="162"/>
      <c r="H175" s="162"/>
    </row>
    <row r="176" spans="2:39" hidden="1" outlineLevel="1">
      <c r="D176" s="48" t="s">
        <v>44</v>
      </c>
      <c r="E176" s="47"/>
      <c r="F176" s="47"/>
      <c r="G176" s="47"/>
      <c r="H176" s="47"/>
    </row>
    <row r="177" spans="2:39" hidden="1" outlineLevel="2">
      <c r="D177" s="161">
        <v>0</v>
      </c>
      <c r="E177" s="140" t="str">
        <f>+"różnica mniejsza od "&amp;TEXT(D177*100,"0,0")&amp;"%"</f>
        <v>różnica mniejsza od 0,0%</v>
      </c>
      <c r="F177" s="158"/>
      <c r="G177" s="158"/>
      <c r="H177" s="158"/>
      <c r="I177" s="312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</row>
    <row r="178" spans="2:39" hidden="1" outlineLevel="2">
      <c r="D178" s="160">
        <v>5.0000000000000001E-3</v>
      </c>
      <c r="E178" s="140" t="str">
        <f>+"różnica mniejsza od "&amp;TEXT(D178*100,"0,0")&amp;"%"</f>
        <v>różnica mniejsza od 0,5%</v>
      </c>
      <c r="F178" s="158"/>
      <c r="G178" s="158"/>
      <c r="H178" s="158"/>
      <c r="I178" s="312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</row>
    <row r="179" spans="2:39" hidden="1" outlineLevel="2">
      <c r="D179" s="159">
        <v>0.01</v>
      </c>
      <c r="E179" s="140" t="str">
        <f>+"różnica mniejsza od "&amp;TEXT(D179*100,"0,0")&amp;"%"</f>
        <v>różnica mniejsza od 1,0%</v>
      </c>
      <c r="F179" s="158"/>
      <c r="G179" s="158"/>
      <c r="H179" s="158"/>
      <c r="I179" s="312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</row>
    <row r="180" spans="2:39" hidden="1" outlineLevel="2">
      <c r="D180" s="157" t="s">
        <v>43</v>
      </c>
      <c r="E180" s="156" t="s">
        <v>39</v>
      </c>
      <c r="F180" s="155" t="s">
        <v>39</v>
      </c>
      <c r="G180" s="155" t="s">
        <v>39</v>
      </c>
      <c r="H180" s="154" t="s">
        <v>39</v>
      </c>
      <c r="I180" s="153">
        <f t="shared" ref="I180:AL180" si="59">+IF(I5=0,"",I56-I51)</f>
        <v>-0.1628</v>
      </c>
      <c r="J180" s="152">
        <f t="shared" si="59"/>
        <v>-2.9499999999999998E-2</v>
      </c>
      <c r="K180" s="152">
        <f t="shared" si="59"/>
        <v>1.0599999999999998E-2</v>
      </c>
      <c r="L180" s="152">
        <f t="shared" si="59"/>
        <v>4.1700000000000001E-2</v>
      </c>
      <c r="M180" s="152">
        <f t="shared" si="59"/>
        <v>5.3799999999999987E-2</v>
      </c>
      <c r="N180" s="152">
        <f t="shared" si="59"/>
        <v>6.3899999999999985E-2</v>
      </c>
      <c r="O180" s="152">
        <f t="shared" si="59"/>
        <v>2.3300000000000001E-2</v>
      </c>
      <c r="P180" s="152">
        <f t="shared" si="59"/>
        <v>2.18E-2</v>
      </c>
      <c r="Q180" s="152">
        <f t="shared" si="59"/>
        <v>3.6600000000000008E-2</v>
      </c>
      <c r="R180" s="152">
        <f t="shared" si="59"/>
        <v>3.9599999999999996E-2</v>
      </c>
      <c r="S180" s="152">
        <f t="shared" si="59"/>
        <v>4.1099999999999998E-2</v>
      </c>
      <c r="T180" s="152">
        <f t="shared" si="59"/>
        <v>4.9899999999999986E-2</v>
      </c>
      <c r="U180" s="152">
        <f t="shared" si="59"/>
        <v>0.1101</v>
      </c>
      <c r="V180" s="152" t="str">
        <f t="shared" si="59"/>
        <v/>
      </c>
      <c r="W180" s="152" t="str">
        <f t="shared" si="59"/>
        <v/>
      </c>
      <c r="X180" s="152" t="str">
        <f t="shared" si="59"/>
        <v/>
      </c>
      <c r="Y180" s="152" t="str">
        <f t="shared" si="59"/>
        <v/>
      </c>
      <c r="Z180" s="152" t="str">
        <f t="shared" si="59"/>
        <v/>
      </c>
      <c r="AA180" s="152" t="str">
        <f t="shared" si="59"/>
        <v/>
      </c>
      <c r="AB180" s="152" t="str">
        <f t="shared" si="59"/>
        <v/>
      </c>
      <c r="AC180" s="152" t="str">
        <f t="shared" si="59"/>
        <v/>
      </c>
      <c r="AD180" s="152" t="str">
        <f t="shared" si="59"/>
        <v/>
      </c>
      <c r="AE180" s="152" t="str">
        <f t="shared" si="59"/>
        <v/>
      </c>
      <c r="AF180" s="152" t="str">
        <f t="shared" si="59"/>
        <v/>
      </c>
      <c r="AG180" s="152" t="str">
        <f t="shared" si="59"/>
        <v/>
      </c>
      <c r="AH180" s="152" t="str">
        <f t="shared" si="59"/>
        <v/>
      </c>
      <c r="AI180" s="152" t="str">
        <f t="shared" si="59"/>
        <v/>
      </c>
      <c r="AJ180" s="152" t="str">
        <f t="shared" si="59"/>
        <v/>
      </c>
      <c r="AK180" s="152" t="str">
        <f t="shared" si="59"/>
        <v/>
      </c>
      <c r="AL180" s="151" t="str">
        <f t="shared" si="59"/>
        <v/>
      </c>
    </row>
    <row r="181" spans="2:39" hidden="1" outlineLevel="2">
      <c r="D181" s="150" t="s">
        <v>42</v>
      </c>
      <c r="E181" s="149" t="s">
        <v>39</v>
      </c>
      <c r="F181" s="148" t="s">
        <v>39</v>
      </c>
      <c r="G181" s="148" t="s">
        <v>39</v>
      </c>
      <c r="H181" s="147" t="s">
        <v>39</v>
      </c>
      <c r="I181" s="146">
        <f t="shared" ref="I181:AL181" si="60">+IF(I5=0,"",I56-I52)</f>
        <v>-0.1089</v>
      </c>
      <c r="J181" s="145">
        <f t="shared" si="60"/>
        <v>-2.8999999999999998E-3</v>
      </c>
      <c r="K181" s="145">
        <f t="shared" si="60"/>
        <v>1.0599999999999998E-2</v>
      </c>
      <c r="L181" s="145">
        <f t="shared" si="60"/>
        <v>4.1700000000000001E-2</v>
      </c>
      <c r="M181" s="145">
        <f t="shared" si="60"/>
        <v>5.3799999999999987E-2</v>
      </c>
      <c r="N181" s="145">
        <f t="shared" si="60"/>
        <v>6.3899999999999985E-2</v>
      </c>
      <c r="O181" s="145">
        <f t="shared" si="60"/>
        <v>2.3300000000000001E-2</v>
      </c>
      <c r="P181" s="145">
        <f t="shared" si="60"/>
        <v>2.18E-2</v>
      </c>
      <c r="Q181" s="145">
        <f t="shared" si="60"/>
        <v>3.6600000000000008E-2</v>
      </c>
      <c r="R181" s="145">
        <f t="shared" si="60"/>
        <v>3.9599999999999996E-2</v>
      </c>
      <c r="S181" s="145">
        <f t="shared" si="60"/>
        <v>4.1099999999999998E-2</v>
      </c>
      <c r="T181" s="145">
        <f t="shared" si="60"/>
        <v>4.9899999999999986E-2</v>
      </c>
      <c r="U181" s="145">
        <f t="shared" si="60"/>
        <v>0.1101</v>
      </c>
      <c r="V181" s="145" t="str">
        <f t="shared" si="60"/>
        <v/>
      </c>
      <c r="W181" s="145" t="str">
        <f t="shared" si="60"/>
        <v/>
      </c>
      <c r="X181" s="145" t="str">
        <f t="shared" si="60"/>
        <v/>
      </c>
      <c r="Y181" s="145" t="str">
        <f t="shared" si="60"/>
        <v/>
      </c>
      <c r="Z181" s="145" t="str">
        <f t="shared" si="60"/>
        <v/>
      </c>
      <c r="AA181" s="145" t="str">
        <f t="shared" si="60"/>
        <v/>
      </c>
      <c r="AB181" s="145" t="str">
        <f t="shared" si="60"/>
        <v/>
      </c>
      <c r="AC181" s="145" t="str">
        <f t="shared" si="60"/>
        <v/>
      </c>
      <c r="AD181" s="145" t="str">
        <f t="shared" si="60"/>
        <v/>
      </c>
      <c r="AE181" s="145" t="str">
        <f t="shared" si="60"/>
        <v/>
      </c>
      <c r="AF181" s="145" t="str">
        <f t="shared" si="60"/>
        <v/>
      </c>
      <c r="AG181" s="145" t="str">
        <f t="shared" si="60"/>
        <v/>
      </c>
      <c r="AH181" s="145" t="str">
        <f t="shared" si="60"/>
        <v/>
      </c>
      <c r="AI181" s="145" t="str">
        <f t="shared" si="60"/>
        <v/>
      </c>
      <c r="AJ181" s="145" t="str">
        <f t="shared" si="60"/>
        <v/>
      </c>
      <c r="AK181" s="145" t="str">
        <f t="shared" si="60"/>
        <v/>
      </c>
      <c r="AL181" s="144" t="str">
        <f t="shared" si="60"/>
        <v/>
      </c>
    </row>
    <row r="182" spans="2:39" hidden="1" outlineLevel="2">
      <c r="D182" s="157" t="s">
        <v>41</v>
      </c>
      <c r="E182" s="156" t="s">
        <v>39</v>
      </c>
      <c r="F182" s="155" t="s">
        <v>39</v>
      </c>
      <c r="G182" s="155" t="s">
        <v>39</v>
      </c>
      <c r="H182" s="154" t="s">
        <v>39</v>
      </c>
      <c r="I182" s="153">
        <f t="shared" ref="I182:AL182" si="61">+IF(I5=0,"",I57-I51)</f>
        <v>-0.15310000000000001</v>
      </c>
      <c r="J182" s="152">
        <f t="shared" si="61"/>
        <v>-1.9699999999999995E-2</v>
      </c>
      <c r="K182" s="152">
        <f t="shared" si="61"/>
        <v>2.0299999999999999E-2</v>
      </c>
      <c r="L182" s="152">
        <f t="shared" si="61"/>
        <v>4.1700000000000001E-2</v>
      </c>
      <c r="M182" s="152">
        <f t="shared" si="61"/>
        <v>5.3799999999999987E-2</v>
      </c>
      <c r="N182" s="152">
        <f t="shared" si="61"/>
        <v>6.3899999999999985E-2</v>
      </c>
      <c r="O182" s="152">
        <f t="shared" si="61"/>
        <v>2.3300000000000001E-2</v>
      </c>
      <c r="P182" s="152">
        <f t="shared" si="61"/>
        <v>2.18E-2</v>
      </c>
      <c r="Q182" s="152">
        <f t="shared" si="61"/>
        <v>3.6600000000000008E-2</v>
      </c>
      <c r="R182" s="152">
        <f t="shared" si="61"/>
        <v>3.9599999999999996E-2</v>
      </c>
      <c r="S182" s="152">
        <f t="shared" si="61"/>
        <v>4.1099999999999998E-2</v>
      </c>
      <c r="T182" s="152">
        <f t="shared" si="61"/>
        <v>4.9899999999999986E-2</v>
      </c>
      <c r="U182" s="152">
        <f t="shared" si="61"/>
        <v>0.1101</v>
      </c>
      <c r="V182" s="152" t="str">
        <f t="shared" si="61"/>
        <v/>
      </c>
      <c r="W182" s="152" t="str">
        <f t="shared" si="61"/>
        <v/>
      </c>
      <c r="X182" s="152" t="str">
        <f t="shared" si="61"/>
        <v/>
      </c>
      <c r="Y182" s="152" t="str">
        <f t="shared" si="61"/>
        <v/>
      </c>
      <c r="Z182" s="152" t="str">
        <f t="shared" si="61"/>
        <v/>
      </c>
      <c r="AA182" s="152" t="str">
        <f t="shared" si="61"/>
        <v/>
      </c>
      <c r="AB182" s="152" t="str">
        <f t="shared" si="61"/>
        <v/>
      </c>
      <c r="AC182" s="152" t="str">
        <f t="shared" si="61"/>
        <v/>
      </c>
      <c r="AD182" s="152" t="str">
        <f t="shared" si="61"/>
        <v/>
      </c>
      <c r="AE182" s="152" t="str">
        <f t="shared" si="61"/>
        <v/>
      </c>
      <c r="AF182" s="152" t="str">
        <f t="shared" si="61"/>
        <v/>
      </c>
      <c r="AG182" s="152" t="str">
        <f t="shared" si="61"/>
        <v/>
      </c>
      <c r="AH182" s="152" t="str">
        <f t="shared" si="61"/>
        <v/>
      </c>
      <c r="AI182" s="152" t="str">
        <f t="shared" si="61"/>
        <v/>
      </c>
      <c r="AJ182" s="152" t="str">
        <f t="shared" si="61"/>
        <v/>
      </c>
      <c r="AK182" s="152" t="str">
        <f t="shared" si="61"/>
        <v/>
      </c>
      <c r="AL182" s="151" t="str">
        <f t="shared" si="61"/>
        <v/>
      </c>
    </row>
    <row r="183" spans="2:39" hidden="1" outlineLevel="2">
      <c r="D183" s="150" t="s">
        <v>40</v>
      </c>
      <c r="E183" s="149" t="s">
        <v>39</v>
      </c>
      <c r="F183" s="148" t="s">
        <v>39</v>
      </c>
      <c r="G183" s="148" t="s">
        <v>39</v>
      </c>
      <c r="H183" s="147" t="s">
        <v>39</v>
      </c>
      <c r="I183" s="146">
        <f t="shared" ref="I183:AL183" si="62">+IF(I5=0,"",I57-I52)</f>
        <v>-9.9199999999999997E-2</v>
      </c>
      <c r="J183" s="145">
        <f t="shared" si="62"/>
        <v>6.9000000000000034E-3</v>
      </c>
      <c r="K183" s="145">
        <f t="shared" si="62"/>
        <v>2.0299999999999999E-2</v>
      </c>
      <c r="L183" s="145">
        <f t="shared" si="62"/>
        <v>4.1700000000000001E-2</v>
      </c>
      <c r="M183" s="145">
        <f t="shared" si="62"/>
        <v>5.3799999999999987E-2</v>
      </c>
      <c r="N183" s="145">
        <f t="shared" si="62"/>
        <v>6.3899999999999985E-2</v>
      </c>
      <c r="O183" s="145">
        <f t="shared" si="62"/>
        <v>2.3300000000000001E-2</v>
      </c>
      <c r="P183" s="145">
        <f t="shared" si="62"/>
        <v>2.18E-2</v>
      </c>
      <c r="Q183" s="145">
        <f t="shared" si="62"/>
        <v>3.6600000000000008E-2</v>
      </c>
      <c r="R183" s="145">
        <f t="shared" si="62"/>
        <v>3.9599999999999996E-2</v>
      </c>
      <c r="S183" s="145">
        <f t="shared" si="62"/>
        <v>4.1099999999999998E-2</v>
      </c>
      <c r="T183" s="145">
        <f t="shared" si="62"/>
        <v>4.9899999999999986E-2</v>
      </c>
      <c r="U183" s="145">
        <f t="shared" si="62"/>
        <v>0.1101</v>
      </c>
      <c r="V183" s="145" t="str">
        <f t="shared" si="62"/>
        <v/>
      </c>
      <c r="W183" s="145" t="str">
        <f t="shared" si="62"/>
        <v/>
      </c>
      <c r="X183" s="145" t="str">
        <f t="shared" si="62"/>
        <v/>
      </c>
      <c r="Y183" s="145" t="str">
        <f t="shared" si="62"/>
        <v/>
      </c>
      <c r="Z183" s="145" t="str">
        <f t="shared" si="62"/>
        <v/>
      </c>
      <c r="AA183" s="145" t="str">
        <f t="shared" si="62"/>
        <v/>
      </c>
      <c r="AB183" s="145" t="str">
        <f t="shared" si="62"/>
        <v/>
      </c>
      <c r="AC183" s="145" t="str">
        <f t="shared" si="62"/>
        <v/>
      </c>
      <c r="AD183" s="145" t="str">
        <f t="shared" si="62"/>
        <v/>
      </c>
      <c r="AE183" s="145" t="str">
        <f t="shared" si="62"/>
        <v/>
      </c>
      <c r="AF183" s="145" t="str">
        <f t="shared" si="62"/>
        <v/>
      </c>
      <c r="AG183" s="145" t="str">
        <f t="shared" si="62"/>
        <v/>
      </c>
      <c r="AH183" s="145" t="str">
        <f t="shared" si="62"/>
        <v/>
      </c>
      <c r="AI183" s="145" t="str">
        <f t="shared" si="62"/>
        <v/>
      </c>
      <c r="AJ183" s="145" t="str">
        <f t="shared" si="62"/>
        <v/>
      </c>
      <c r="AK183" s="145" t="str">
        <f t="shared" si="62"/>
        <v/>
      </c>
      <c r="AL183" s="144" t="str">
        <f t="shared" si="62"/>
        <v/>
      </c>
    </row>
    <row r="184" spans="2:39" hidden="1" outlineLevel="1">
      <c r="D184" s="48" t="s">
        <v>38</v>
      </c>
      <c r="E184" s="47"/>
      <c r="F184" s="47"/>
      <c r="G184" s="47"/>
      <c r="H184" s="4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</row>
    <row r="185" spans="2:39" hidden="1" outlineLevel="2">
      <c r="D185" s="143">
        <v>0.05</v>
      </c>
      <c r="E185" s="140" t="str">
        <f>+"zmiana większa niż +/- "&amp;TEXT(D185*100,"0,0")&amp;"%"</f>
        <v>zmiana większa niż +/- 5,0%</v>
      </c>
      <c r="F185" s="139"/>
      <c r="G185" s="139"/>
      <c r="H185" s="139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</row>
    <row r="186" spans="2:39" hidden="1" outlineLevel="2">
      <c r="D186" s="142">
        <v>0.1</v>
      </c>
      <c r="E186" s="140" t="str">
        <f>+"zmiana większa niż +/- "&amp;TEXT(D186*100,"0,0")&amp;"%"</f>
        <v>zmiana większa niż +/- 10,0%</v>
      </c>
      <c r="F186" s="139"/>
      <c r="G186" s="139"/>
      <c r="H186" s="139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</row>
    <row r="187" spans="2:39" ht="24" hidden="1" outlineLevel="2">
      <c r="D187" s="141">
        <v>0.2</v>
      </c>
      <c r="E187" s="140" t="str">
        <f>+"zmiana większa niż +/- "&amp;TEXT(D187*100,"0,0")&amp;"%"</f>
        <v>zmiana większa niż +/- 20,0%</v>
      </c>
      <c r="F187" s="139"/>
      <c r="G187" s="138" t="s">
        <v>37</v>
      </c>
      <c r="H187" s="138" t="s">
        <v>36</v>
      </c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</row>
    <row r="188" spans="2:39" hidden="1" outlineLevel="2">
      <c r="B188" s="76"/>
      <c r="C188" s="76"/>
      <c r="D188" s="84" t="s">
        <v>18</v>
      </c>
      <c r="E188" s="127" t="s">
        <v>0</v>
      </c>
      <c r="F188" s="126">
        <f t="shared" ref="F188:AL188" si="63">+IF(F5=0,0,IF(E214&lt;&gt;0,F214/E214-1,0))</f>
        <v>-3.0242838828626772E-2</v>
      </c>
      <c r="G188" s="126">
        <f t="shared" si="63"/>
        <v>0.16103778358343246</v>
      </c>
      <c r="H188" s="125">
        <f t="shared" si="63"/>
        <v>4.8717289281920984E-3</v>
      </c>
      <c r="I188" s="124">
        <f t="shared" si="63"/>
        <v>2.1141042436936708E-2</v>
      </c>
      <c r="J188" s="123">
        <f t="shared" si="63"/>
        <v>-6.5572091420861289E-3</v>
      </c>
      <c r="K188" s="123">
        <f t="shared" si="63"/>
        <v>-8.9359889232080048E-2</v>
      </c>
      <c r="L188" s="123">
        <f t="shared" si="63"/>
        <v>-3.2777777777778239E-3</v>
      </c>
      <c r="M188" s="123">
        <f t="shared" si="63"/>
        <v>1.1342382487627534E-2</v>
      </c>
      <c r="N188" s="123">
        <f t="shared" si="63"/>
        <v>2.9477871465601657E-2</v>
      </c>
      <c r="O188" s="123">
        <f t="shared" si="63"/>
        <v>2.9492791563238363E-2</v>
      </c>
      <c r="P188" s="123">
        <f t="shared" si="63"/>
        <v>2.9507386056231155E-2</v>
      </c>
      <c r="Q188" s="123">
        <f t="shared" si="63"/>
        <v>2.9521457866627854E-2</v>
      </c>
      <c r="R188" s="123">
        <f t="shared" si="63"/>
        <v>2.9535178996898503E-2</v>
      </c>
      <c r="S188" s="123">
        <f t="shared" si="63"/>
        <v>2.9548527268911329E-2</v>
      </c>
      <c r="T188" s="123">
        <f t="shared" si="63"/>
        <v>2.9561512033920989E-2</v>
      </c>
      <c r="U188" s="123">
        <f t="shared" si="63"/>
        <v>2.9574073821676761E-2</v>
      </c>
      <c r="V188" s="123">
        <f t="shared" si="63"/>
        <v>0</v>
      </c>
      <c r="W188" s="123">
        <f t="shared" si="63"/>
        <v>0</v>
      </c>
      <c r="X188" s="123">
        <f t="shared" si="63"/>
        <v>0</v>
      </c>
      <c r="Y188" s="123">
        <f t="shared" si="63"/>
        <v>0</v>
      </c>
      <c r="Z188" s="123">
        <f t="shared" si="63"/>
        <v>0</v>
      </c>
      <c r="AA188" s="123">
        <f t="shared" si="63"/>
        <v>0</v>
      </c>
      <c r="AB188" s="123">
        <f t="shared" si="63"/>
        <v>0</v>
      </c>
      <c r="AC188" s="123">
        <f t="shared" si="63"/>
        <v>0</v>
      </c>
      <c r="AD188" s="123">
        <f t="shared" si="63"/>
        <v>0</v>
      </c>
      <c r="AE188" s="123">
        <f t="shared" si="63"/>
        <v>0</v>
      </c>
      <c r="AF188" s="123">
        <f t="shared" si="63"/>
        <v>0</v>
      </c>
      <c r="AG188" s="123">
        <f t="shared" si="63"/>
        <v>0</v>
      </c>
      <c r="AH188" s="123">
        <f t="shared" si="63"/>
        <v>0</v>
      </c>
      <c r="AI188" s="123">
        <f t="shared" si="63"/>
        <v>0</v>
      </c>
      <c r="AJ188" s="123">
        <f t="shared" si="63"/>
        <v>0</v>
      </c>
      <c r="AK188" s="123">
        <f t="shared" si="63"/>
        <v>0</v>
      </c>
      <c r="AL188" s="122">
        <f t="shared" si="63"/>
        <v>0</v>
      </c>
      <c r="AM188" s="68"/>
    </row>
    <row r="189" spans="2:39" ht="15" hidden="1" outlineLevel="2">
      <c r="B189" s="60"/>
      <c r="C189" s="60"/>
      <c r="D189" s="85" t="s">
        <v>31</v>
      </c>
      <c r="E189" s="136" t="s">
        <v>0</v>
      </c>
      <c r="F189" s="135">
        <f t="shared" ref="F189:AL189" si="64">+IF(F5=0,0,IF(E215&lt;&gt;0,F215/E215-1,0))</f>
        <v>-3.0242838828626772E-2</v>
      </c>
      <c r="G189" s="135">
        <f t="shared" si="64"/>
        <v>0.16103778358343246</v>
      </c>
      <c r="H189" s="134">
        <f t="shared" si="64"/>
        <v>4.8717289281920984E-3</v>
      </c>
      <c r="I189" s="112">
        <f t="shared" si="64"/>
        <v>-6.8581876694892685E-2</v>
      </c>
      <c r="J189" s="111">
        <f t="shared" si="64"/>
        <v>-6.1275724694883515E-2</v>
      </c>
      <c r="K189" s="111">
        <f t="shared" si="64"/>
        <v>5.6556283927196249E-2</v>
      </c>
      <c r="L189" s="111">
        <f t="shared" si="64"/>
        <v>-3.2777777777778239E-3</v>
      </c>
      <c r="M189" s="111">
        <f t="shared" si="64"/>
        <v>1.1342382487627534E-2</v>
      </c>
      <c r="N189" s="111">
        <f t="shared" si="64"/>
        <v>2.9477871465601657E-2</v>
      </c>
      <c r="O189" s="111">
        <f t="shared" si="64"/>
        <v>2.9492791563238363E-2</v>
      </c>
      <c r="P189" s="111">
        <f t="shared" si="64"/>
        <v>2.9507386056231155E-2</v>
      </c>
      <c r="Q189" s="111">
        <f t="shared" si="64"/>
        <v>2.9521457866627854E-2</v>
      </c>
      <c r="R189" s="111">
        <f t="shared" si="64"/>
        <v>2.9535178996898503E-2</v>
      </c>
      <c r="S189" s="111">
        <f t="shared" si="64"/>
        <v>2.9548527268911329E-2</v>
      </c>
      <c r="T189" s="111">
        <f t="shared" si="64"/>
        <v>2.9561512033920989E-2</v>
      </c>
      <c r="U189" s="111">
        <f t="shared" si="64"/>
        <v>2.9574073821676761E-2</v>
      </c>
      <c r="V189" s="111">
        <f t="shared" si="64"/>
        <v>0</v>
      </c>
      <c r="W189" s="111">
        <f t="shared" si="64"/>
        <v>0</v>
      </c>
      <c r="X189" s="111">
        <f t="shared" si="64"/>
        <v>0</v>
      </c>
      <c r="Y189" s="111">
        <f t="shared" si="64"/>
        <v>0</v>
      </c>
      <c r="Z189" s="111">
        <f t="shared" si="64"/>
        <v>0</v>
      </c>
      <c r="AA189" s="111">
        <f t="shared" si="64"/>
        <v>0</v>
      </c>
      <c r="AB189" s="111">
        <f t="shared" si="64"/>
        <v>0</v>
      </c>
      <c r="AC189" s="111">
        <f t="shared" si="64"/>
        <v>0</v>
      </c>
      <c r="AD189" s="111">
        <f t="shared" si="64"/>
        <v>0</v>
      </c>
      <c r="AE189" s="111">
        <f t="shared" si="64"/>
        <v>0</v>
      </c>
      <c r="AF189" s="111">
        <f t="shared" si="64"/>
        <v>0</v>
      </c>
      <c r="AG189" s="111">
        <f t="shared" si="64"/>
        <v>0</v>
      </c>
      <c r="AH189" s="111">
        <f t="shared" si="64"/>
        <v>0</v>
      </c>
      <c r="AI189" s="111">
        <f t="shared" si="64"/>
        <v>0</v>
      </c>
      <c r="AJ189" s="111">
        <f t="shared" si="64"/>
        <v>0</v>
      </c>
      <c r="AK189" s="111">
        <f t="shared" si="64"/>
        <v>0</v>
      </c>
      <c r="AL189" s="110">
        <f t="shared" si="64"/>
        <v>0</v>
      </c>
      <c r="AM189" s="52"/>
    </row>
    <row r="190" spans="2:39" ht="15" hidden="1" outlineLevel="2">
      <c r="B190" s="60"/>
      <c r="C190" s="60"/>
      <c r="D190" s="67" t="s">
        <v>30</v>
      </c>
      <c r="E190" s="115" t="s">
        <v>0</v>
      </c>
      <c r="F190" s="114">
        <f t="shared" ref="F190:AL190" si="65">+IF(F5=0,0,IF(E216&lt;&gt;0,F216/E216-1,0))</f>
        <v>6.0397117962598612E-2</v>
      </c>
      <c r="G190" s="114">
        <f t="shared" si="65"/>
        <v>0.11316498141266429</v>
      </c>
      <c r="H190" s="113">
        <f t="shared" si="65"/>
        <v>1.5684566314469794E-2</v>
      </c>
      <c r="I190" s="112">
        <f t="shared" si="65"/>
        <v>-2.2970434905164705E-2</v>
      </c>
      <c r="J190" s="111">
        <f t="shared" si="65"/>
        <v>2.4814670273245687E-2</v>
      </c>
      <c r="K190" s="111">
        <f t="shared" si="65"/>
        <v>5.0000000000000044E-2</v>
      </c>
      <c r="L190" s="111">
        <f t="shared" si="65"/>
        <v>-3.3363095238094775E-3</v>
      </c>
      <c r="M190" s="111">
        <f t="shared" si="65"/>
        <v>1.1545603038709551E-2</v>
      </c>
      <c r="N190" s="111">
        <f t="shared" si="65"/>
        <v>2.9999995867102225E-2</v>
      </c>
      <c r="O190" s="111">
        <f t="shared" si="65"/>
        <v>2.9999965033736364E-2</v>
      </c>
      <c r="P190" s="111">
        <f t="shared" si="65"/>
        <v>3.0000031165220875E-2</v>
      </c>
      <c r="Q190" s="111">
        <f t="shared" si="65"/>
        <v>2.9999982169690353E-2</v>
      </c>
      <c r="R190" s="111">
        <f t="shared" si="65"/>
        <v>2.9999981639869278E-2</v>
      </c>
      <c r="S190" s="111">
        <f t="shared" si="65"/>
        <v>2.999999592562963E-2</v>
      </c>
      <c r="T190" s="111">
        <f t="shared" si="65"/>
        <v>3.0000023734195969E-2</v>
      </c>
      <c r="U190" s="111">
        <f t="shared" si="65"/>
        <v>2.999999423927302E-2</v>
      </c>
      <c r="V190" s="111">
        <f t="shared" si="65"/>
        <v>0</v>
      </c>
      <c r="W190" s="111">
        <f t="shared" si="65"/>
        <v>0</v>
      </c>
      <c r="X190" s="111">
        <f t="shared" si="65"/>
        <v>0</v>
      </c>
      <c r="Y190" s="111">
        <f t="shared" si="65"/>
        <v>0</v>
      </c>
      <c r="Z190" s="111">
        <f t="shared" si="65"/>
        <v>0</v>
      </c>
      <c r="AA190" s="111">
        <f t="shared" si="65"/>
        <v>0</v>
      </c>
      <c r="AB190" s="111">
        <f t="shared" si="65"/>
        <v>0</v>
      </c>
      <c r="AC190" s="111">
        <f t="shared" si="65"/>
        <v>0</v>
      </c>
      <c r="AD190" s="111">
        <f t="shared" si="65"/>
        <v>0</v>
      </c>
      <c r="AE190" s="111">
        <f t="shared" si="65"/>
        <v>0</v>
      </c>
      <c r="AF190" s="111">
        <f t="shared" si="65"/>
        <v>0</v>
      </c>
      <c r="AG190" s="111">
        <f t="shared" si="65"/>
        <v>0</v>
      </c>
      <c r="AH190" s="111">
        <f t="shared" si="65"/>
        <v>0</v>
      </c>
      <c r="AI190" s="111">
        <f t="shared" si="65"/>
        <v>0</v>
      </c>
      <c r="AJ190" s="111">
        <f t="shared" si="65"/>
        <v>0</v>
      </c>
      <c r="AK190" s="111">
        <f t="shared" si="65"/>
        <v>0</v>
      </c>
      <c r="AL190" s="110">
        <f t="shared" si="65"/>
        <v>0</v>
      </c>
      <c r="AM190" s="52"/>
    </row>
    <row r="191" spans="2:39" ht="15" hidden="1" outlineLevel="2">
      <c r="B191" s="60"/>
      <c r="C191" s="60"/>
      <c r="D191" s="67" t="s">
        <v>29</v>
      </c>
      <c r="E191" s="115" t="s">
        <v>0</v>
      </c>
      <c r="F191" s="114">
        <f t="shared" ref="F191:AL191" si="66">+IF(F5=0,0,IF(E217&lt;&gt;0,F217/E217-1,0))</f>
        <v>-0.42866395743819496</v>
      </c>
      <c r="G191" s="114">
        <f t="shared" si="66"/>
        <v>0.551598380792647</v>
      </c>
      <c r="H191" s="113">
        <f t="shared" si="66"/>
        <v>-5.8415993488080686E-2</v>
      </c>
      <c r="I191" s="112">
        <f t="shared" si="66"/>
        <v>-0.35655594093931087</v>
      </c>
      <c r="J191" s="111">
        <f t="shared" si="66"/>
        <v>-0.88661247903795981</v>
      </c>
      <c r="K191" s="111">
        <f t="shared" si="66"/>
        <v>0.62464257863270078</v>
      </c>
      <c r="L191" s="111">
        <f t="shared" si="66"/>
        <v>0</v>
      </c>
      <c r="M191" s="111">
        <f t="shared" si="66"/>
        <v>0</v>
      </c>
      <c r="N191" s="111">
        <f t="shared" si="66"/>
        <v>0</v>
      </c>
      <c r="O191" s="111">
        <f t="shared" si="66"/>
        <v>0</v>
      </c>
      <c r="P191" s="111">
        <f t="shared" si="66"/>
        <v>0</v>
      </c>
      <c r="Q191" s="111">
        <f t="shared" si="66"/>
        <v>0</v>
      </c>
      <c r="R191" s="111">
        <f t="shared" si="66"/>
        <v>0</v>
      </c>
      <c r="S191" s="111">
        <f t="shared" si="66"/>
        <v>0</v>
      </c>
      <c r="T191" s="111">
        <f t="shared" si="66"/>
        <v>0</v>
      </c>
      <c r="U191" s="111">
        <f t="shared" si="66"/>
        <v>0</v>
      </c>
      <c r="V191" s="111">
        <f t="shared" si="66"/>
        <v>0</v>
      </c>
      <c r="W191" s="111">
        <f t="shared" si="66"/>
        <v>0</v>
      </c>
      <c r="X191" s="111">
        <f t="shared" si="66"/>
        <v>0</v>
      </c>
      <c r="Y191" s="111">
        <f t="shared" si="66"/>
        <v>0</v>
      </c>
      <c r="Z191" s="111">
        <f t="shared" si="66"/>
        <v>0</v>
      </c>
      <c r="AA191" s="111">
        <f t="shared" si="66"/>
        <v>0</v>
      </c>
      <c r="AB191" s="111">
        <f t="shared" si="66"/>
        <v>0</v>
      </c>
      <c r="AC191" s="111">
        <f t="shared" si="66"/>
        <v>0</v>
      </c>
      <c r="AD191" s="111">
        <f t="shared" si="66"/>
        <v>0</v>
      </c>
      <c r="AE191" s="111">
        <f t="shared" si="66"/>
        <v>0</v>
      </c>
      <c r="AF191" s="111">
        <f t="shared" si="66"/>
        <v>0</v>
      </c>
      <c r="AG191" s="111">
        <f t="shared" si="66"/>
        <v>0</v>
      </c>
      <c r="AH191" s="111">
        <f t="shared" si="66"/>
        <v>0</v>
      </c>
      <c r="AI191" s="111">
        <f t="shared" si="66"/>
        <v>0</v>
      </c>
      <c r="AJ191" s="111">
        <f t="shared" si="66"/>
        <v>0</v>
      </c>
      <c r="AK191" s="111">
        <f t="shared" si="66"/>
        <v>0</v>
      </c>
      <c r="AL191" s="110">
        <f t="shared" si="66"/>
        <v>0</v>
      </c>
      <c r="AM191" s="52"/>
    </row>
    <row r="192" spans="2:39" ht="24" hidden="1" outlineLevel="2">
      <c r="B192" s="60"/>
      <c r="C192" s="60"/>
      <c r="D192" s="67" t="s">
        <v>28</v>
      </c>
      <c r="E192" s="115" t="s">
        <v>0</v>
      </c>
      <c r="F192" s="114">
        <f t="shared" ref="F192:AL192" si="67">+IF(F5=0,0,IF(E218&lt;&gt;0,F218/E218-1,0))</f>
        <v>-0.45315699680184651</v>
      </c>
      <c r="G192" s="114">
        <f t="shared" si="67"/>
        <v>0.51059190089298112</v>
      </c>
      <c r="H192" s="113">
        <f t="shared" si="67"/>
        <v>-3.8199278910903245E-2</v>
      </c>
      <c r="I192" s="112">
        <f t="shared" si="67"/>
        <v>-0.99634342651245222</v>
      </c>
      <c r="J192" s="111">
        <f t="shared" si="67"/>
        <v>-14.507904906897764</v>
      </c>
      <c r="K192" s="111">
        <f t="shared" si="67"/>
        <v>-1</v>
      </c>
      <c r="L192" s="111">
        <f t="shared" si="67"/>
        <v>0</v>
      </c>
      <c r="M192" s="111">
        <f t="shared" si="67"/>
        <v>0</v>
      </c>
      <c r="N192" s="111">
        <f t="shared" si="67"/>
        <v>0</v>
      </c>
      <c r="O192" s="111">
        <f t="shared" si="67"/>
        <v>0</v>
      </c>
      <c r="P192" s="111">
        <f t="shared" si="67"/>
        <v>0</v>
      </c>
      <c r="Q192" s="111">
        <f t="shared" si="67"/>
        <v>0</v>
      </c>
      <c r="R192" s="111">
        <f t="shared" si="67"/>
        <v>0</v>
      </c>
      <c r="S192" s="111">
        <f t="shared" si="67"/>
        <v>0</v>
      </c>
      <c r="T192" s="111">
        <f t="shared" si="67"/>
        <v>0</v>
      </c>
      <c r="U192" s="111">
        <f t="shared" si="67"/>
        <v>0</v>
      </c>
      <c r="V192" s="111">
        <f t="shared" si="67"/>
        <v>0</v>
      </c>
      <c r="W192" s="111">
        <f t="shared" si="67"/>
        <v>0</v>
      </c>
      <c r="X192" s="111">
        <f t="shared" si="67"/>
        <v>0</v>
      </c>
      <c r="Y192" s="111">
        <f t="shared" si="67"/>
        <v>0</v>
      </c>
      <c r="Z192" s="111">
        <f t="shared" si="67"/>
        <v>0</v>
      </c>
      <c r="AA192" s="111">
        <f t="shared" si="67"/>
        <v>0</v>
      </c>
      <c r="AB192" s="111">
        <f t="shared" si="67"/>
        <v>0</v>
      </c>
      <c r="AC192" s="111">
        <f t="shared" si="67"/>
        <v>0</v>
      </c>
      <c r="AD192" s="111">
        <f t="shared" si="67"/>
        <v>0</v>
      </c>
      <c r="AE192" s="111">
        <f t="shared" si="67"/>
        <v>0</v>
      </c>
      <c r="AF192" s="111">
        <f t="shared" si="67"/>
        <v>0</v>
      </c>
      <c r="AG192" s="111">
        <f t="shared" si="67"/>
        <v>0</v>
      </c>
      <c r="AH192" s="111">
        <f t="shared" si="67"/>
        <v>0</v>
      </c>
      <c r="AI192" s="111">
        <f t="shared" si="67"/>
        <v>0</v>
      </c>
      <c r="AJ192" s="111">
        <f t="shared" si="67"/>
        <v>0</v>
      </c>
      <c r="AK192" s="111">
        <f t="shared" si="67"/>
        <v>0</v>
      </c>
      <c r="AL192" s="110">
        <f t="shared" si="67"/>
        <v>0</v>
      </c>
      <c r="AM192" s="52"/>
    </row>
    <row r="193" spans="2:39" ht="15" hidden="1" outlineLevel="2">
      <c r="B193" s="60"/>
      <c r="C193" s="60"/>
      <c r="D193" s="59" t="s">
        <v>27</v>
      </c>
      <c r="E193" s="133" t="s">
        <v>0</v>
      </c>
      <c r="F193" s="132">
        <f t="shared" ref="F193:AL193" si="68">+IF(F5=0,0,IF(E219&lt;&gt;0,F219/E219-1,0))</f>
        <v>0.3459533609452925</v>
      </c>
      <c r="G193" s="132">
        <f t="shared" si="68"/>
        <v>1.0785001542886654</v>
      </c>
      <c r="H193" s="131">
        <f t="shared" si="68"/>
        <v>-0.24720853846153845</v>
      </c>
      <c r="I193" s="130">
        <f t="shared" si="68"/>
        <v>7.2768861618535894</v>
      </c>
      <c r="J193" s="129">
        <f t="shared" si="68"/>
        <v>-0.81481481481481488</v>
      </c>
      <c r="K193" s="129">
        <f t="shared" si="68"/>
        <v>0</v>
      </c>
      <c r="L193" s="129">
        <f t="shared" si="68"/>
        <v>0</v>
      </c>
      <c r="M193" s="129">
        <f t="shared" si="68"/>
        <v>0</v>
      </c>
      <c r="N193" s="129">
        <f t="shared" si="68"/>
        <v>0</v>
      </c>
      <c r="O193" s="129">
        <f t="shared" si="68"/>
        <v>0</v>
      </c>
      <c r="P193" s="129">
        <f t="shared" si="68"/>
        <v>0</v>
      </c>
      <c r="Q193" s="129">
        <f t="shared" si="68"/>
        <v>0</v>
      </c>
      <c r="R193" s="129">
        <f t="shared" si="68"/>
        <v>0</v>
      </c>
      <c r="S193" s="129">
        <f t="shared" si="68"/>
        <v>0</v>
      </c>
      <c r="T193" s="129">
        <f t="shared" si="68"/>
        <v>0</v>
      </c>
      <c r="U193" s="129">
        <f t="shared" si="68"/>
        <v>0</v>
      </c>
      <c r="V193" s="129">
        <f t="shared" si="68"/>
        <v>0</v>
      </c>
      <c r="W193" s="129">
        <f t="shared" si="68"/>
        <v>0</v>
      </c>
      <c r="X193" s="129">
        <f t="shared" si="68"/>
        <v>0</v>
      </c>
      <c r="Y193" s="129">
        <f t="shared" si="68"/>
        <v>0</v>
      </c>
      <c r="Z193" s="129">
        <f t="shared" si="68"/>
        <v>0</v>
      </c>
      <c r="AA193" s="129">
        <f t="shared" si="68"/>
        <v>0</v>
      </c>
      <c r="AB193" s="129">
        <f t="shared" si="68"/>
        <v>0</v>
      </c>
      <c r="AC193" s="129">
        <f t="shared" si="68"/>
        <v>0</v>
      </c>
      <c r="AD193" s="129">
        <f t="shared" si="68"/>
        <v>0</v>
      </c>
      <c r="AE193" s="129">
        <f t="shared" si="68"/>
        <v>0</v>
      </c>
      <c r="AF193" s="129">
        <f t="shared" si="68"/>
        <v>0</v>
      </c>
      <c r="AG193" s="129">
        <f t="shared" si="68"/>
        <v>0</v>
      </c>
      <c r="AH193" s="129">
        <f t="shared" si="68"/>
        <v>0</v>
      </c>
      <c r="AI193" s="129">
        <f t="shared" si="68"/>
        <v>0</v>
      </c>
      <c r="AJ193" s="129">
        <f t="shared" si="68"/>
        <v>0</v>
      </c>
      <c r="AK193" s="129">
        <f t="shared" si="68"/>
        <v>0</v>
      </c>
      <c r="AL193" s="128">
        <f t="shared" si="68"/>
        <v>0</v>
      </c>
      <c r="AM193" s="52"/>
    </row>
    <row r="194" spans="2:39" hidden="1" outlineLevel="2">
      <c r="B194" s="76"/>
      <c r="C194" s="76"/>
      <c r="D194" s="84" t="s">
        <v>14</v>
      </c>
      <c r="E194" s="127" t="s">
        <v>0</v>
      </c>
      <c r="F194" s="126">
        <f t="shared" ref="F194:AL194" si="69">+IF(F5=0,0,IF(E220&lt;&gt;0,F220/E220-1,0))</f>
        <v>0.18663628051654224</v>
      </c>
      <c r="G194" s="126">
        <f t="shared" si="69"/>
        <v>-7.230550734749519E-2</v>
      </c>
      <c r="H194" s="125">
        <f t="shared" si="69"/>
        <v>-0.10883095404818366</v>
      </c>
      <c r="I194" s="124">
        <f t="shared" si="69"/>
        <v>4.9170284193371439E-2</v>
      </c>
      <c r="J194" s="123">
        <f t="shared" si="69"/>
        <v>-5.3637102810280446E-2</v>
      </c>
      <c r="K194" s="123">
        <f t="shared" si="69"/>
        <v>-6.9920122551701547E-2</v>
      </c>
      <c r="L194" s="123">
        <f t="shared" si="69"/>
        <v>-2.0944117647058835E-2</v>
      </c>
      <c r="M194" s="123">
        <f t="shared" si="69"/>
        <v>-4.0140711790170869E-4</v>
      </c>
      <c r="N194" s="123">
        <f t="shared" si="69"/>
        <v>3.0540949959996455E-2</v>
      </c>
      <c r="O194" s="123">
        <f t="shared" si="69"/>
        <v>-4.4699486806567545E-3</v>
      </c>
      <c r="P194" s="123">
        <f t="shared" si="69"/>
        <v>2.5723210630328674E-2</v>
      </c>
      <c r="Q194" s="123">
        <f t="shared" si="69"/>
        <v>3.742523836931988E-2</v>
      </c>
      <c r="R194" s="123">
        <f t="shared" si="69"/>
        <v>2.432912543023491E-2</v>
      </c>
      <c r="S194" s="123">
        <f t="shared" si="69"/>
        <v>2.1985993394441072E-2</v>
      </c>
      <c r="T194" s="123">
        <f t="shared" si="69"/>
        <v>2.9910617364567127E-2</v>
      </c>
      <c r="U194" s="123">
        <f t="shared" si="69"/>
        <v>8.7215790015515715E-2</v>
      </c>
      <c r="V194" s="123">
        <f t="shared" si="69"/>
        <v>0</v>
      </c>
      <c r="W194" s="123">
        <f t="shared" si="69"/>
        <v>0</v>
      </c>
      <c r="X194" s="123">
        <f t="shared" si="69"/>
        <v>0</v>
      </c>
      <c r="Y194" s="123">
        <f t="shared" si="69"/>
        <v>0</v>
      </c>
      <c r="Z194" s="123">
        <f t="shared" si="69"/>
        <v>0</v>
      </c>
      <c r="AA194" s="123">
        <f t="shared" si="69"/>
        <v>0</v>
      </c>
      <c r="AB194" s="123">
        <f t="shared" si="69"/>
        <v>0</v>
      </c>
      <c r="AC194" s="123">
        <f t="shared" si="69"/>
        <v>0</v>
      </c>
      <c r="AD194" s="123">
        <f t="shared" si="69"/>
        <v>0</v>
      </c>
      <c r="AE194" s="123">
        <f t="shared" si="69"/>
        <v>0</v>
      </c>
      <c r="AF194" s="123">
        <f t="shared" si="69"/>
        <v>0</v>
      </c>
      <c r="AG194" s="123">
        <f t="shared" si="69"/>
        <v>0</v>
      </c>
      <c r="AH194" s="123">
        <f t="shared" si="69"/>
        <v>0</v>
      </c>
      <c r="AI194" s="123">
        <f t="shared" si="69"/>
        <v>0</v>
      </c>
      <c r="AJ194" s="123">
        <f t="shared" si="69"/>
        <v>0</v>
      </c>
      <c r="AK194" s="123">
        <f t="shared" si="69"/>
        <v>0</v>
      </c>
      <c r="AL194" s="122">
        <f t="shared" si="69"/>
        <v>0</v>
      </c>
      <c r="AM194" s="68"/>
    </row>
    <row r="195" spans="2:39" ht="15" hidden="1" outlineLevel="2">
      <c r="B195" s="60"/>
      <c r="C195" s="60"/>
      <c r="D195" s="77" t="s">
        <v>26</v>
      </c>
      <c r="E195" s="115" t="s">
        <v>0</v>
      </c>
      <c r="F195" s="114">
        <f t="shared" ref="F195:AL195" si="70">+IF(F5=0,0,IF(E221&lt;&gt;0,F221/E221-1,0))</f>
        <v>0.18663628051654224</v>
      </c>
      <c r="G195" s="114">
        <f t="shared" si="70"/>
        <v>-7.230550734749519E-2</v>
      </c>
      <c r="H195" s="113">
        <f t="shared" si="70"/>
        <v>-0.10883095404818366</v>
      </c>
      <c r="I195" s="112">
        <f t="shared" si="70"/>
        <v>-9.9135477159373431E-2</v>
      </c>
      <c r="J195" s="111">
        <f t="shared" si="70"/>
        <v>-1.0918355582334005E-2</v>
      </c>
      <c r="K195" s="111">
        <f t="shared" si="70"/>
        <v>3.6411703697453612E-2</v>
      </c>
      <c r="L195" s="111">
        <f t="shared" si="70"/>
        <v>-2.0944117647058835E-2</v>
      </c>
      <c r="M195" s="111">
        <f t="shared" si="70"/>
        <v>-4.0140711790170869E-4</v>
      </c>
      <c r="N195" s="111">
        <f t="shared" si="70"/>
        <v>3.0540949959996455E-2</v>
      </c>
      <c r="O195" s="111">
        <f t="shared" si="70"/>
        <v>-4.4699486806567545E-3</v>
      </c>
      <c r="P195" s="111">
        <f t="shared" si="70"/>
        <v>2.5723210630328674E-2</v>
      </c>
      <c r="Q195" s="111">
        <f t="shared" si="70"/>
        <v>3.742523836931988E-2</v>
      </c>
      <c r="R195" s="111">
        <f t="shared" si="70"/>
        <v>2.432912543023491E-2</v>
      </c>
      <c r="S195" s="111">
        <f t="shared" si="70"/>
        <v>2.1985993394441072E-2</v>
      </c>
      <c r="T195" s="111">
        <f t="shared" si="70"/>
        <v>2.9910617364567127E-2</v>
      </c>
      <c r="U195" s="111">
        <f t="shared" si="70"/>
        <v>8.7215790015515715E-2</v>
      </c>
      <c r="V195" s="111">
        <f t="shared" si="70"/>
        <v>0</v>
      </c>
      <c r="W195" s="111">
        <f t="shared" si="70"/>
        <v>0</v>
      </c>
      <c r="X195" s="111">
        <f t="shared" si="70"/>
        <v>0</v>
      </c>
      <c r="Y195" s="111">
        <f t="shared" si="70"/>
        <v>0</v>
      </c>
      <c r="Z195" s="111">
        <f t="shared" si="70"/>
        <v>0</v>
      </c>
      <c r="AA195" s="111">
        <f t="shared" si="70"/>
        <v>0</v>
      </c>
      <c r="AB195" s="111">
        <f t="shared" si="70"/>
        <v>0</v>
      </c>
      <c r="AC195" s="111">
        <f t="shared" si="70"/>
        <v>0</v>
      </c>
      <c r="AD195" s="111">
        <f t="shared" si="70"/>
        <v>0</v>
      </c>
      <c r="AE195" s="111">
        <f t="shared" si="70"/>
        <v>0</v>
      </c>
      <c r="AF195" s="111">
        <f t="shared" si="70"/>
        <v>0</v>
      </c>
      <c r="AG195" s="111">
        <f t="shared" si="70"/>
        <v>0</v>
      </c>
      <c r="AH195" s="111">
        <f t="shared" si="70"/>
        <v>0</v>
      </c>
      <c r="AI195" s="111">
        <f t="shared" si="70"/>
        <v>0</v>
      </c>
      <c r="AJ195" s="111">
        <f t="shared" si="70"/>
        <v>0</v>
      </c>
      <c r="AK195" s="111">
        <f t="shared" si="70"/>
        <v>0</v>
      </c>
      <c r="AL195" s="110">
        <f t="shared" si="70"/>
        <v>0</v>
      </c>
      <c r="AM195" s="52"/>
    </row>
    <row r="196" spans="2:39" hidden="1" outlineLevel="2">
      <c r="B196" s="76"/>
      <c r="C196" s="76"/>
      <c r="D196" s="75" t="s">
        <v>25</v>
      </c>
      <c r="E196" s="121" t="s">
        <v>0</v>
      </c>
      <c r="F196" s="120">
        <f t="shared" ref="F196:AL196" si="71">+IF(F5=0,0,IF(E222&lt;&gt;0,F222/E222-1,0))</f>
        <v>-4.4065490834308552E-3</v>
      </c>
      <c r="G196" s="120">
        <f t="shared" si="71"/>
        <v>0.12069384691718565</v>
      </c>
      <c r="H196" s="119">
        <f t="shared" si="71"/>
        <v>-2.2701573800010144E-2</v>
      </c>
      <c r="I196" s="118">
        <f t="shared" si="71"/>
        <v>4.7484737899070373E-2</v>
      </c>
      <c r="J196" s="117">
        <f t="shared" si="71"/>
        <v>-0.10047062853862565</v>
      </c>
      <c r="K196" s="117">
        <f t="shared" si="71"/>
        <v>4.7347890270721393E-5</v>
      </c>
      <c r="L196" s="117">
        <f t="shared" si="71"/>
        <v>2.5584490608510313E-2</v>
      </c>
      <c r="M196" s="117">
        <f t="shared" si="71"/>
        <v>2.5918786651058179E-2</v>
      </c>
      <c r="N196" s="117">
        <f t="shared" si="71"/>
        <v>2.6562533320716453E-2</v>
      </c>
      <c r="O196" s="117">
        <f t="shared" si="71"/>
        <v>2.6720072888807955E-2</v>
      </c>
      <c r="P196" s="117">
        <f t="shared" si="71"/>
        <v>2.4644774445292228E-2</v>
      </c>
      <c r="Q196" s="117">
        <f t="shared" si="71"/>
        <v>2.4541747782583334E-2</v>
      </c>
      <c r="R196" s="117">
        <f t="shared" si="71"/>
        <v>2.5163963664063038E-2</v>
      </c>
      <c r="S196" s="117">
        <f t="shared" si="71"/>
        <v>2.4946948603243424E-2</v>
      </c>
      <c r="T196" s="117">
        <f t="shared" si="71"/>
        <v>2.4643716072287436E-2</v>
      </c>
      <c r="U196" s="117">
        <f t="shared" si="71"/>
        <v>2.4756006251574147E-2</v>
      </c>
      <c r="V196" s="117">
        <f t="shared" si="71"/>
        <v>0</v>
      </c>
      <c r="W196" s="117">
        <f t="shared" si="71"/>
        <v>0</v>
      </c>
      <c r="X196" s="117">
        <f t="shared" si="71"/>
        <v>0</v>
      </c>
      <c r="Y196" s="117">
        <f t="shared" si="71"/>
        <v>0</v>
      </c>
      <c r="Z196" s="117">
        <f t="shared" si="71"/>
        <v>0</v>
      </c>
      <c r="AA196" s="117">
        <f t="shared" si="71"/>
        <v>0</v>
      </c>
      <c r="AB196" s="117">
        <f t="shared" si="71"/>
        <v>0</v>
      </c>
      <c r="AC196" s="117">
        <f t="shared" si="71"/>
        <v>0</v>
      </c>
      <c r="AD196" s="117">
        <f t="shared" si="71"/>
        <v>0</v>
      </c>
      <c r="AE196" s="117">
        <f t="shared" si="71"/>
        <v>0</v>
      </c>
      <c r="AF196" s="117">
        <f t="shared" si="71"/>
        <v>0</v>
      </c>
      <c r="AG196" s="117">
        <f t="shared" si="71"/>
        <v>0</v>
      </c>
      <c r="AH196" s="117">
        <f t="shared" si="71"/>
        <v>0</v>
      </c>
      <c r="AI196" s="117">
        <f t="shared" si="71"/>
        <v>0</v>
      </c>
      <c r="AJ196" s="117">
        <f t="shared" si="71"/>
        <v>0</v>
      </c>
      <c r="AK196" s="117">
        <f t="shared" si="71"/>
        <v>0</v>
      </c>
      <c r="AL196" s="116">
        <f t="shared" si="71"/>
        <v>0</v>
      </c>
      <c r="AM196" s="68"/>
    </row>
    <row r="197" spans="2:39" ht="15" hidden="1" outlineLevel="2">
      <c r="B197" s="60"/>
      <c r="C197" s="60"/>
      <c r="D197" s="67" t="s">
        <v>24</v>
      </c>
      <c r="E197" s="115" t="s">
        <v>0</v>
      </c>
      <c r="F197" s="114">
        <f t="shared" ref="F197:AL197" si="72">+IF(F5=0,0,IF(E223&lt;&gt;0,F223/E223-1,0))</f>
        <v>-4.4065490834308552E-3</v>
      </c>
      <c r="G197" s="114">
        <f t="shared" si="72"/>
        <v>0.12069384691718565</v>
      </c>
      <c r="H197" s="113">
        <f t="shared" si="72"/>
        <v>-2.2701573800010144E-2</v>
      </c>
      <c r="I197" s="112">
        <f t="shared" si="72"/>
        <v>3.0479467072678235E-2</v>
      </c>
      <c r="J197" s="111">
        <f t="shared" si="72"/>
        <v>-8.7070083720534486E-2</v>
      </c>
      <c r="K197" s="111">
        <f t="shared" si="72"/>
        <v>1.6288690020249685E-3</v>
      </c>
      <c r="L197" s="111">
        <f t="shared" si="72"/>
        <v>2.5584490608510313E-2</v>
      </c>
      <c r="M197" s="111">
        <f t="shared" si="72"/>
        <v>2.5918786651058179E-2</v>
      </c>
      <c r="N197" s="111">
        <f t="shared" si="72"/>
        <v>2.6562533320716453E-2</v>
      </c>
      <c r="O197" s="111">
        <f t="shared" si="72"/>
        <v>2.6720072888807955E-2</v>
      </c>
      <c r="P197" s="111">
        <f t="shared" si="72"/>
        <v>2.4644774445292228E-2</v>
      </c>
      <c r="Q197" s="111">
        <f t="shared" si="72"/>
        <v>2.4541747782583334E-2</v>
      </c>
      <c r="R197" s="111">
        <f t="shared" si="72"/>
        <v>2.5163963664063038E-2</v>
      </c>
      <c r="S197" s="111">
        <f t="shared" si="72"/>
        <v>2.4946948603243424E-2</v>
      </c>
      <c r="T197" s="111">
        <f t="shared" si="72"/>
        <v>2.4643716072287436E-2</v>
      </c>
      <c r="U197" s="111">
        <f t="shared" si="72"/>
        <v>2.4756006251574147E-2</v>
      </c>
      <c r="V197" s="111">
        <f t="shared" si="72"/>
        <v>0</v>
      </c>
      <c r="W197" s="111">
        <f t="shared" si="72"/>
        <v>0</v>
      </c>
      <c r="X197" s="111">
        <f t="shared" si="72"/>
        <v>0</v>
      </c>
      <c r="Y197" s="111">
        <f t="shared" si="72"/>
        <v>0</v>
      </c>
      <c r="Z197" s="111">
        <f t="shared" si="72"/>
        <v>0</v>
      </c>
      <c r="AA197" s="111">
        <f t="shared" si="72"/>
        <v>0</v>
      </c>
      <c r="AB197" s="111">
        <f t="shared" si="72"/>
        <v>0</v>
      </c>
      <c r="AC197" s="111">
        <f t="shared" si="72"/>
        <v>0</v>
      </c>
      <c r="AD197" s="111">
        <f t="shared" si="72"/>
        <v>0</v>
      </c>
      <c r="AE197" s="111">
        <f t="shared" si="72"/>
        <v>0</v>
      </c>
      <c r="AF197" s="111">
        <f t="shared" si="72"/>
        <v>0</v>
      </c>
      <c r="AG197" s="111">
        <f t="shared" si="72"/>
        <v>0</v>
      </c>
      <c r="AH197" s="111">
        <f t="shared" si="72"/>
        <v>0</v>
      </c>
      <c r="AI197" s="111">
        <f t="shared" si="72"/>
        <v>0</v>
      </c>
      <c r="AJ197" s="111">
        <f t="shared" si="72"/>
        <v>0</v>
      </c>
      <c r="AK197" s="111">
        <f t="shared" si="72"/>
        <v>0</v>
      </c>
      <c r="AL197" s="110">
        <f t="shared" si="72"/>
        <v>0</v>
      </c>
      <c r="AM197" s="52"/>
    </row>
    <row r="198" spans="2:39" ht="15" hidden="1" outlineLevel="2">
      <c r="B198" s="60"/>
      <c r="C198" s="60"/>
      <c r="D198" s="67" t="s">
        <v>23</v>
      </c>
      <c r="E198" s="115" t="s">
        <v>0</v>
      </c>
      <c r="F198" s="114">
        <f t="shared" ref="F198:AL198" si="73">+IF(F5=0,0,IF(E224&lt;&gt;0,F224/E224-1,0))</f>
        <v>0</v>
      </c>
      <c r="G198" s="114">
        <f t="shared" si="73"/>
        <v>0.10636979690636705</v>
      </c>
      <c r="H198" s="113">
        <f t="shared" si="73"/>
        <v>-1.525927781295866E-2</v>
      </c>
      <c r="I198" s="112">
        <f t="shared" si="73"/>
        <v>4.0683099322762262E-2</v>
      </c>
      <c r="J198" s="111">
        <f t="shared" si="73"/>
        <v>6.3839221767219012E-3</v>
      </c>
      <c r="K198" s="111">
        <f t="shared" si="73"/>
        <v>3.0000112445863314E-2</v>
      </c>
      <c r="L198" s="111">
        <f t="shared" si="73"/>
        <v>2.999997270731769E-2</v>
      </c>
      <c r="M198" s="111">
        <f t="shared" si="73"/>
        <v>2.9999916322893228E-2</v>
      </c>
      <c r="N198" s="111">
        <f t="shared" si="73"/>
        <v>3.0000005415994346E-2</v>
      </c>
      <c r="O198" s="111">
        <f t="shared" si="73"/>
        <v>3.0000007887370561E-2</v>
      </c>
      <c r="P198" s="111">
        <f t="shared" si="73"/>
        <v>3.000008551032618E-2</v>
      </c>
      <c r="Q198" s="111">
        <f t="shared" si="73"/>
        <v>2.999998389169467E-2</v>
      </c>
      <c r="R198" s="111">
        <f t="shared" si="73"/>
        <v>2.9999944661534217E-2</v>
      </c>
      <c r="S198" s="111">
        <f t="shared" si="73"/>
        <v>3.0000037375073729E-2</v>
      </c>
      <c r="T198" s="111">
        <f t="shared" si="73"/>
        <v>2.9999959177712032E-2</v>
      </c>
      <c r="U198" s="111">
        <f t="shared" si="73"/>
        <v>2.9999979082429906E-2</v>
      </c>
      <c r="V198" s="111">
        <f t="shared" si="73"/>
        <v>0</v>
      </c>
      <c r="W198" s="111">
        <f t="shared" si="73"/>
        <v>0</v>
      </c>
      <c r="X198" s="111">
        <f t="shared" si="73"/>
        <v>0</v>
      </c>
      <c r="Y198" s="111">
        <f t="shared" si="73"/>
        <v>0</v>
      </c>
      <c r="Z198" s="111">
        <f t="shared" si="73"/>
        <v>0</v>
      </c>
      <c r="AA198" s="111">
        <f t="shared" si="73"/>
        <v>0</v>
      </c>
      <c r="AB198" s="111">
        <f t="shared" si="73"/>
        <v>0</v>
      </c>
      <c r="AC198" s="111">
        <f t="shared" si="73"/>
        <v>0</v>
      </c>
      <c r="AD198" s="111">
        <f t="shared" si="73"/>
        <v>0</v>
      </c>
      <c r="AE198" s="111">
        <f t="shared" si="73"/>
        <v>0</v>
      </c>
      <c r="AF198" s="111">
        <f t="shared" si="73"/>
        <v>0</v>
      </c>
      <c r="AG198" s="111">
        <f t="shared" si="73"/>
        <v>0</v>
      </c>
      <c r="AH198" s="111">
        <f t="shared" si="73"/>
        <v>0</v>
      </c>
      <c r="AI198" s="111">
        <f t="shared" si="73"/>
        <v>0</v>
      </c>
      <c r="AJ198" s="111">
        <f t="shared" si="73"/>
        <v>0</v>
      </c>
      <c r="AK198" s="111">
        <f t="shared" si="73"/>
        <v>0</v>
      </c>
      <c r="AL198" s="110">
        <f t="shared" si="73"/>
        <v>0</v>
      </c>
      <c r="AM198" s="52"/>
    </row>
    <row r="199" spans="2:39" ht="24" hidden="1" outlineLevel="2">
      <c r="B199" s="60"/>
      <c r="C199" s="60"/>
      <c r="D199" s="59" t="s">
        <v>22</v>
      </c>
      <c r="E199" s="109" t="s">
        <v>0</v>
      </c>
      <c r="F199" s="108">
        <f t="shared" ref="F199:AL199" si="74">+IF(F5=0,0,IF(E225&lt;&gt;0,F225/E225-1,0))</f>
        <v>-0.54390707146540263</v>
      </c>
      <c r="G199" s="108">
        <f t="shared" si="74"/>
        <v>0.59811626541561758</v>
      </c>
      <c r="H199" s="107">
        <f t="shared" si="74"/>
        <v>-0.33311464919886025</v>
      </c>
      <c r="I199" s="106">
        <f t="shared" si="74"/>
        <v>-0.19441383655483668</v>
      </c>
      <c r="J199" s="105">
        <f t="shared" si="74"/>
        <v>-0.11963349390376776</v>
      </c>
      <c r="K199" s="105">
        <f t="shared" si="74"/>
        <v>-8.5398635639459375E-2</v>
      </c>
      <c r="L199" s="105">
        <f t="shared" si="74"/>
        <v>4.2778779155793423E-2</v>
      </c>
      <c r="M199" s="105">
        <f t="shared" si="74"/>
        <v>2.9742166959528804E-2</v>
      </c>
      <c r="N199" s="105">
        <f t="shared" si="74"/>
        <v>3.0501100241344004E-2</v>
      </c>
      <c r="O199" s="105">
        <f t="shared" si="74"/>
        <v>3.1215575257729E-2</v>
      </c>
      <c r="P199" s="105">
        <f t="shared" si="74"/>
        <v>3.1885877110940708E-2</v>
      </c>
      <c r="Q199" s="105">
        <f t="shared" si="74"/>
        <v>3.2513415119524103E-2</v>
      </c>
      <c r="R199" s="105">
        <f t="shared" si="74"/>
        <v>3.3097872532518835E-2</v>
      </c>
      <c r="S199" s="105">
        <f t="shared" si="74"/>
        <v>3.3641173665900359E-2</v>
      </c>
      <c r="T199" s="105">
        <f t="shared" si="74"/>
        <v>3.4144798913652741E-2</v>
      </c>
      <c r="U199" s="105">
        <f t="shared" si="74"/>
        <v>3.4608653345586049E-2</v>
      </c>
      <c r="V199" s="105">
        <f t="shared" si="74"/>
        <v>0</v>
      </c>
      <c r="W199" s="105">
        <f t="shared" si="74"/>
        <v>0</v>
      </c>
      <c r="X199" s="105">
        <f t="shared" si="74"/>
        <v>0</v>
      </c>
      <c r="Y199" s="105">
        <f t="shared" si="74"/>
        <v>0</v>
      </c>
      <c r="Z199" s="105">
        <f t="shared" si="74"/>
        <v>0</v>
      </c>
      <c r="AA199" s="105">
        <f t="shared" si="74"/>
        <v>0</v>
      </c>
      <c r="AB199" s="105">
        <f t="shared" si="74"/>
        <v>0</v>
      </c>
      <c r="AC199" s="105">
        <f t="shared" si="74"/>
        <v>0</v>
      </c>
      <c r="AD199" s="105">
        <f t="shared" si="74"/>
        <v>0</v>
      </c>
      <c r="AE199" s="105">
        <f t="shared" si="74"/>
        <v>0</v>
      </c>
      <c r="AF199" s="105">
        <f t="shared" si="74"/>
        <v>0</v>
      </c>
      <c r="AG199" s="105">
        <f t="shared" si="74"/>
        <v>0</v>
      </c>
      <c r="AH199" s="105">
        <f t="shared" si="74"/>
        <v>0</v>
      </c>
      <c r="AI199" s="105">
        <f t="shared" si="74"/>
        <v>0</v>
      </c>
      <c r="AJ199" s="105">
        <f t="shared" si="74"/>
        <v>0</v>
      </c>
      <c r="AK199" s="105">
        <f t="shared" si="74"/>
        <v>0</v>
      </c>
      <c r="AL199" s="104">
        <f t="shared" si="74"/>
        <v>0</v>
      </c>
      <c r="AM199" s="52"/>
    </row>
    <row r="200" spans="2:39" ht="24" hidden="1" outlineLevel="1">
      <c r="B200" s="60"/>
      <c r="C200" s="60"/>
      <c r="D200" s="48" t="s">
        <v>35</v>
      </c>
      <c r="E200" s="87"/>
      <c r="F200" s="87"/>
      <c r="G200" s="103" t="s">
        <v>34</v>
      </c>
      <c r="H200" s="103" t="s">
        <v>33</v>
      </c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52"/>
    </row>
    <row r="201" spans="2:39" hidden="1" outlineLevel="2">
      <c r="B201" s="76"/>
      <c r="C201" s="76"/>
      <c r="D201" s="84" t="s">
        <v>18</v>
      </c>
      <c r="E201" s="99" t="s">
        <v>0</v>
      </c>
      <c r="F201" s="98">
        <f t="shared" ref="F201:AL206" si="75">+IF(F$214=0,"",F214-E214)</f>
        <v>-494792.74000000022</v>
      </c>
      <c r="G201" s="98">
        <f t="shared" si="75"/>
        <v>2555003.7600000016</v>
      </c>
      <c r="H201" s="97">
        <f t="shared" si="75"/>
        <v>89741.479999996722</v>
      </c>
      <c r="I201" s="80">
        <f t="shared" si="75"/>
        <v>391333.60000000149</v>
      </c>
      <c r="J201" s="79">
        <f t="shared" si="75"/>
        <v>-123944</v>
      </c>
      <c r="K201" s="79">
        <f t="shared" si="75"/>
        <v>-1678000</v>
      </c>
      <c r="L201" s="79">
        <f t="shared" si="75"/>
        <v>-56050</v>
      </c>
      <c r="M201" s="79">
        <f t="shared" si="75"/>
        <v>193319</v>
      </c>
      <c r="N201" s="79">
        <f t="shared" si="75"/>
        <v>508118</v>
      </c>
      <c r="O201" s="79">
        <f t="shared" si="75"/>
        <v>523361</v>
      </c>
      <c r="P201" s="79">
        <f t="shared" si="75"/>
        <v>539063</v>
      </c>
      <c r="Q201" s="79">
        <f t="shared" si="75"/>
        <v>555234</v>
      </c>
      <c r="R201" s="79">
        <f t="shared" si="75"/>
        <v>571891</v>
      </c>
      <c r="S201" s="79">
        <f t="shared" si="75"/>
        <v>589048</v>
      </c>
      <c r="T201" s="79">
        <f t="shared" si="75"/>
        <v>606720</v>
      </c>
      <c r="U201" s="79">
        <f t="shared" si="75"/>
        <v>624921</v>
      </c>
      <c r="V201" s="79" t="str">
        <f t="shared" si="75"/>
        <v/>
      </c>
      <c r="W201" s="79" t="str">
        <f t="shared" si="75"/>
        <v/>
      </c>
      <c r="X201" s="79" t="str">
        <f t="shared" si="75"/>
        <v/>
      </c>
      <c r="Y201" s="79" t="str">
        <f t="shared" si="75"/>
        <v/>
      </c>
      <c r="Z201" s="79" t="str">
        <f t="shared" si="75"/>
        <v/>
      </c>
      <c r="AA201" s="79" t="str">
        <f t="shared" si="75"/>
        <v/>
      </c>
      <c r="AB201" s="79" t="str">
        <f t="shared" si="75"/>
        <v/>
      </c>
      <c r="AC201" s="79" t="str">
        <f t="shared" si="75"/>
        <v/>
      </c>
      <c r="AD201" s="79" t="str">
        <f t="shared" si="75"/>
        <v/>
      </c>
      <c r="AE201" s="79" t="str">
        <f t="shared" si="75"/>
        <v/>
      </c>
      <c r="AF201" s="79" t="str">
        <f t="shared" si="75"/>
        <v/>
      </c>
      <c r="AG201" s="79" t="str">
        <f t="shared" si="75"/>
        <v/>
      </c>
      <c r="AH201" s="79" t="str">
        <f t="shared" si="75"/>
        <v/>
      </c>
      <c r="AI201" s="79" t="str">
        <f t="shared" si="75"/>
        <v/>
      </c>
      <c r="AJ201" s="79" t="str">
        <f t="shared" si="75"/>
        <v/>
      </c>
      <c r="AK201" s="79" t="str">
        <f t="shared" si="75"/>
        <v/>
      </c>
      <c r="AL201" s="78" t="str">
        <f t="shared" si="75"/>
        <v/>
      </c>
      <c r="AM201" s="68"/>
    </row>
    <row r="202" spans="2:39" ht="15" hidden="1" outlineLevel="2">
      <c r="B202" s="60"/>
      <c r="C202" s="60"/>
      <c r="D202" s="85" t="s">
        <v>31</v>
      </c>
      <c r="E202" s="102" t="s">
        <v>0</v>
      </c>
      <c r="F202" s="101">
        <f t="shared" si="75"/>
        <v>-494792.74000000022</v>
      </c>
      <c r="G202" s="101">
        <f t="shared" si="75"/>
        <v>2555003.7600000016</v>
      </c>
      <c r="H202" s="100">
        <f t="shared" si="75"/>
        <v>89741.479999996722</v>
      </c>
      <c r="I202" s="63">
        <f t="shared" si="75"/>
        <v>-1269492.3999999985</v>
      </c>
      <c r="J202" s="62">
        <f t="shared" si="75"/>
        <v>-1056462</v>
      </c>
      <c r="K202" s="62">
        <f t="shared" si="75"/>
        <v>915344</v>
      </c>
      <c r="L202" s="62">
        <f t="shared" si="75"/>
        <v>-56050</v>
      </c>
      <c r="M202" s="62">
        <f t="shared" si="75"/>
        <v>193319</v>
      </c>
      <c r="N202" s="62">
        <f t="shared" si="75"/>
        <v>508118</v>
      </c>
      <c r="O202" s="62">
        <f t="shared" si="75"/>
        <v>523361</v>
      </c>
      <c r="P202" s="62">
        <f t="shared" si="75"/>
        <v>539063</v>
      </c>
      <c r="Q202" s="62">
        <f t="shared" si="75"/>
        <v>555234</v>
      </c>
      <c r="R202" s="62">
        <f t="shared" si="75"/>
        <v>571891</v>
      </c>
      <c r="S202" s="62">
        <f t="shared" si="75"/>
        <v>589048</v>
      </c>
      <c r="T202" s="62">
        <f t="shared" si="75"/>
        <v>606720</v>
      </c>
      <c r="U202" s="62">
        <f t="shared" si="75"/>
        <v>624921</v>
      </c>
      <c r="V202" s="62" t="str">
        <f t="shared" si="75"/>
        <v/>
      </c>
      <c r="W202" s="62" t="str">
        <f t="shared" si="75"/>
        <v/>
      </c>
      <c r="X202" s="62" t="str">
        <f t="shared" si="75"/>
        <v/>
      </c>
      <c r="Y202" s="62" t="str">
        <f t="shared" si="75"/>
        <v/>
      </c>
      <c r="Z202" s="62" t="str">
        <f t="shared" si="75"/>
        <v/>
      </c>
      <c r="AA202" s="62" t="str">
        <f t="shared" si="75"/>
        <v/>
      </c>
      <c r="AB202" s="62" t="str">
        <f t="shared" si="75"/>
        <v/>
      </c>
      <c r="AC202" s="62" t="str">
        <f t="shared" si="75"/>
        <v/>
      </c>
      <c r="AD202" s="62" t="str">
        <f t="shared" si="75"/>
        <v/>
      </c>
      <c r="AE202" s="62" t="str">
        <f t="shared" si="75"/>
        <v/>
      </c>
      <c r="AF202" s="62" t="str">
        <f t="shared" si="75"/>
        <v/>
      </c>
      <c r="AG202" s="62" t="str">
        <f t="shared" si="75"/>
        <v/>
      </c>
      <c r="AH202" s="62" t="str">
        <f t="shared" si="75"/>
        <v/>
      </c>
      <c r="AI202" s="62" t="str">
        <f t="shared" si="75"/>
        <v/>
      </c>
      <c r="AJ202" s="62" t="str">
        <f t="shared" si="75"/>
        <v/>
      </c>
      <c r="AK202" s="62" t="str">
        <f t="shared" si="75"/>
        <v/>
      </c>
      <c r="AL202" s="61" t="str">
        <f t="shared" si="75"/>
        <v/>
      </c>
      <c r="AM202" s="52"/>
    </row>
    <row r="203" spans="2:39" ht="15" hidden="1" outlineLevel="2">
      <c r="B203" s="60"/>
      <c r="C203" s="60"/>
      <c r="D203" s="67" t="s">
        <v>30</v>
      </c>
      <c r="E203" s="93" t="s">
        <v>0</v>
      </c>
      <c r="F203" s="92">
        <f t="shared" si="75"/>
        <v>805000.65000000037</v>
      </c>
      <c r="G203" s="92">
        <f t="shared" si="75"/>
        <v>1599412.959999999</v>
      </c>
      <c r="H203" s="91">
        <f t="shared" si="75"/>
        <v>246763.3200000003</v>
      </c>
      <c r="I203" s="63">
        <f t="shared" si="75"/>
        <v>-367059.24000000022</v>
      </c>
      <c r="J203" s="62">
        <f t="shared" si="75"/>
        <v>387421</v>
      </c>
      <c r="K203" s="62">
        <f t="shared" si="75"/>
        <v>800000</v>
      </c>
      <c r="L203" s="62">
        <f t="shared" si="75"/>
        <v>-56050</v>
      </c>
      <c r="M203" s="62">
        <f t="shared" si="75"/>
        <v>193319</v>
      </c>
      <c r="N203" s="62">
        <f t="shared" si="75"/>
        <v>508118</v>
      </c>
      <c r="O203" s="62">
        <f t="shared" si="75"/>
        <v>523361</v>
      </c>
      <c r="P203" s="62">
        <f t="shared" si="75"/>
        <v>539063</v>
      </c>
      <c r="Q203" s="62">
        <f t="shared" si="75"/>
        <v>555234</v>
      </c>
      <c r="R203" s="62">
        <f t="shared" si="75"/>
        <v>571891</v>
      </c>
      <c r="S203" s="62">
        <f t="shared" si="75"/>
        <v>589048</v>
      </c>
      <c r="T203" s="62">
        <f t="shared" si="75"/>
        <v>606720</v>
      </c>
      <c r="U203" s="62">
        <f t="shared" si="75"/>
        <v>624921</v>
      </c>
      <c r="V203" s="62" t="str">
        <f t="shared" si="75"/>
        <v/>
      </c>
      <c r="W203" s="62" t="str">
        <f t="shared" si="75"/>
        <v/>
      </c>
      <c r="X203" s="62" t="str">
        <f t="shared" si="75"/>
        <v/>
      </c>
      <c r="Y203" s="62" t="str">
        <f t="shared" si="75"/>
        <v/>
      </c>
      <c r="Z203" s="62" t="str">
        <f t="shared" si="75"/>
        <v/>
      </c>
      <c r="AA203" s="62" t="str">
        <f t="shared" si="75"/>
        <v/>
      </c>
      <c r="AB203" s="62" t="str">
        <f t="shared" si="75"/>
        <v/>
      </c>
      <c r="AC203" s="62" t="str">
        <f t="shared" si="75"/>
        <v/>
      </c>
      <c r="AD203" s="62" t="str">
        <f t="shared" si="75"/>
        <v/>
      </c>
      <c r="AE203" s="62" t="str">
        <f t="shared" si="75"/>
        <v/>
      </c>
      <c r="AF203" s="62" t="str">
        <f t="shared" si="75"/>
        <v/>
      </c>
      <c r="AG203" s="62" t="str">
        <f t="shared" si="75"/>
        <v/>
      </c>
      <c r="AH203" s="62" t="str">
        <f t="shared" si="75"/>
        <v/>
      </c>
      <c r="AI203" s="62" t="str">
        <f t="shared" si="75"/>
        <v/>
      </c>
      <c r="AJ203" s="62" t="str">
        <f t="shared" si="75"/>
        <v/>
      </c>
      <c r="AK203" s="62" t="str">
        <f t="shared" si="75"/>
        <v/>
      </c>
      <c r="AL203" s="61" t="str">
        <f t="shared" si="75"/>
        <v/>
      </c>
      <c r="AM203" s="52"/>
    </row>
    <row r="204" spans="2:39" ht="15" hidden="1" outlineLevel="2">
      <c r="B204" s="60"/>
      <c r="C204" s="60"/>
      <c r="D204" s="67" t="s">
        <v>29</v>
      </c>
      <c r="E204" s="93" t="s">
        <v>0</v>
      </c>
      <c r="F204" s="92">
        <f t="shared" si="75"/>
        <v>-1299793.3899999999</v>
      </c>
      <c r="G204" s="92">
        <f t="shared" si="75"/>
        <v>955590.8</v>
      </c>
      <c r="H204" s="91">
        <f t="shared" si="75"/>
        <v>-157021.83999999985</v>
      </c>
      <c r="I204" s="63">
        <f t="shared" si="75"/>
        <v>-902433.16000000015</v>
      </c>
      <c r="J204" s="62">
        <f t="shared" si="75"/>
        <v>-1443883</v>
      </c>
      <c r="K204" s="62">
        <f t="shared" si="75"/>
        <v>115344</v>
      </c>
      <c r="L204" s="62">
        <f t="shared" si="75"/>
        <v>0</v>
      </c>
      <c r="M204" s="62">
        <f t="shared" si="75"/>
        <v>0</v>
      </c>
      <c r="N204" s="62">
        <f t="shared" si="75"/>
        <v>0</v>
      </c>
      <c r="O204" s="62">
        <f t="shared" si="75"/>
        <v>0</v>
      </c>
      <c r="P204" s="62">
        <f t="shared" si="75"/>
        <v>0</v>
      </c>
      <c r="Q204" s="62">
        <f t="shared" si="75"/>
        <v>0</v>
      </c>
      <c r="R204" s="62">
        <f t="shared" si="75"/>
        <v>0</v>
      </c>
      <c r="S204" s="62">
        <f t="shared" si="75"/>
        <v>0</v>
      </c>
      <c r="T204" s="62">
        <f t="shared" si="75"/>
        <v>0</v>
      </c>
      <c r="U204" s="62">
        <f t="shared" si="75"/>
        <v>0</v>
      </c>
      <c r="V204" s="62" t="str">
        <f t="shared" si="75"/>
        <v/>
      </c>
      <c r="W204" s="62" t="str">
        <f t="shared" si="75"/>
        <v/>
      </c>
      <c r="X204" s="62" t="str">
        <f t="shared" si="75"/>
        <v/>
      </c>
      <c r="Y204" s="62" t="str">
        <f t="shared" si="75"/>
        <v/>
      </c>
      <c r="Z204" s="62" t="str">
        <f t="shared" si="75"/>
        <v/>
      </c>
      <c r="AA204" s="62" t="str">
        <f t="shared" si="75"/>
        <v/>
      </c>
      <c r="AB204" s="62" t="str">
        <f t="shared" si="75"/>
        <v/>
      </c>
      <c r="AC204" s="62" t="str">
        <f t="shared" si="75"/>
        <v/>
      </c>
      <c r="AD204" s="62" t="str">
        <f t="shared" si="75"/>
        <v/>
      </c>
      <c r="AE204" s="62" t="str">
        <f t="shared" si="75"/>
        <v/>
      </c>
      <c r="AF204" s="62" t="str">
        <f t="shared" si="75"/>
        <v/>
      </c>
      <c r="AG204" s="62" t="str">
        <f t="shared" si="75"/>
        <v/>
      </c>
      <c r="AH204" s="62" t="str">
        <f t="shared" si="75"/>
        <v/>
      </c>
      <c r="AI204" s="62" t="str">
        <f t="shared" si="75"/>
        <v/>
      </c>
      <c r="AJ204" s="62" t="str">
        <f t="shared" si="75"/>
        <v/>
      </c>
      <c r="AK204" s="62" t="str">
        <f t="shared" si="75"/>
        <v/>
      </c>
      <c r="AL204" s="61" t="str">
        <f t="shared" si="75"/>
        <v/>
      </c>
      <c r="AM204" s="52"/>
    </row>
    <row r="205" spans="2:39" ht="24" hidden="1" outlineLevel="2">
      <c r="B205" s="60"/>
      <c r="C205" s="60"/>
      <c r="D205" s="67" t="s">
        <v>28</v>
      </c>
      <c r="E205" s="93" t="s">
        <v>0</v>
      </c>
      <c r="F205" s="92">
        <f t="shared" si="75"/>
        <v>-1331945.5999999996</v>
      </c>
      <c r="G205" s="92">
        <f t="shared" si="75"/>
        <v>820681</v>
      </c>
      <c r="H205" s="91">
        <f t="shared" si="75"/>
        <v>-92747.619999999646</v>
      </c>
      <c r="I205" s="63">
        <f t="shared" si="75"/>
        <v>-2326707.3800000004</v>
      </c>
      <c r="J205" s="62">
        <f t="shared" si="75"/>
        <v>-123883</v>
      </c>
      <c r="K205" s="62">
        <f t="shared" si="75"/>
        <v>115344</v>
      </c>
      <c r="L205" s="62">
        <f t="shared" si="75"/>
        <v>0</v>
      </c>
      <c r="M205" s="62">
        <f t="shared" si="75"/>
        <v>0</v>
      </c>
      <c r="N205" s="62">
        <f t="shared" si="75"/>
        <v>0</v>
      </c>
      <c r="O205" s="62">
        <f t="shared" si="75"/>
        <v>0</v>
      </c>
      <c r="P205" s="62">
        <f t="shared" si="75"/>
        <v>0</v>
      </c>
      <c r="Q205" s="62">
        <f t="shared" si="75"/>
        <v>0</v>
      </c>
      <c r="R205" s="62">
        <f t="shared" si="75"/>
        <v>0</v>
      </c>
      <c r="S205" s="62">
        <f t="shared" si="75"/>
        <v>0</v>
      </c>
      <c r="T205" s="62">
        <f t="shared" si="75"/>
        <v>0</v>
      </c>
      <c r="U205" s="62">
        <f t="shared" si="75"/>
        <v>0</v>
      </c>
      <c r="V205" s="62" t="str">
        <f t="shared" si="75"/>
        <v/>
      </c>
      <c r="W205" s="62" t="str">
        <f t="shared" si="75"/>
        <v/>
      </c>
      <c r="X205" s="62" t="str">
        <f t="shared" si="75"/>
        <v/>
      </c>
      <c r="Y205" s="62" t="str">
        <f t="shared" si="75"/>
        <v/>
      </c>
      <c r="Z205" s="62" t="str">
        <f t="shared" si="75"/>
        <v/>
      </c>
      <c r="AA205" s="62" t="str">
        <f t="shared" si="75"/>
        <v/>
      </c>
      <c r="AB205" s="62" t="str">
        <f t="shared" si="75"/>
        <v/>
      </c>
      <c r="AC205" s="62" t="str">
        <f t="shared" si="75"/>
        <v/>
      </c>
      <c r="AD205" s="62" t="str">
        <f t="shared" si="75"/>
        <v/>
      </c>
      <c r="AE205" s="62" t="str">
        <f t="shared" si="75"/>
        <v/>
      </c>
      <c r="AF205" s="62" t="str">
        <f t="shared" si="75"/>
        <v/>
      </c>
      <c r="AG205" s="62" t="str">
        <f t="shared" si="75"/>
        <v/>
      </c>
      <c r="AH205" s="62" t="str">
        <f t="shared" si="75"/>
        <v/>
      </c>
      <c r="AI205" s="62" t="str">
        <f t="shared" si="75"/>
        <v/>
      </c>
      <c r="AJ205" s="62" t="str">
        <f t="shared" si="75"/>
        <v/>
      </c>
      <c r="AK205" s="62" t="str">
        <f t="shared" si="75"/>
        <v/>
      </c>
      <c r="AL205" s="61" t="str">
        <f t="shared" si="75"/>
        <v/>
      </c>
      <c r="AM205" s="52"/>
    </row>
    <row r="206" spans="2:39" ht="15" hidden="1" outlineLevel="2">
      <c r="B206" s="60"/>
      <c r="C206" s="60"/>
      <c r="D206" s="59" t="s">
        <v>27</v>
      </c>
      <c r="E206" s="90" t="s">
        <v>0</v>
      </c>
      <c r="F206" s="89">
        <f t="shared" si="75"/>
        <v>32152.209999999992</v>
      </c>
      <c r="G206" s="89">
        <f t="shared" si="75"/>
        <v>134909.79999999999</v>
      </c>
      <c r="H206" s="88">
        <f t="shared" si="75"/>
        <v>-64274.22</v>
      </c>
      <c r="I206" s="55">
        <f t="shared" si="75"/>
        <v>1424274.22</v>
      </c>
      <c r="J206" s="54">
        <f t="shared" si="75"/>
        <v>-1320000</v>
      </c>
      <c r="K206" s="54">
        <f t="shared" si="75"/>
        <v>0</v>
      </c>
      <c r="L206" s="54">
        <f t="shared" si="75"/>
        <v>0</v>
      </c>
      <c r="M206" s="54">
        <f t="shared" si="75"/>
        <v>0</v>
      </c>
      <c r="N206" s="54">
        <f t="shared" si="75"/>
        <v>0</v>
      </c>
      <c r="O206" s="54">
        <f t="shared" si="75"/>
        <v>0</v>
      </c>
      <c r="P206" s="54">
        <f t="shared" si="75"/>
        <v>0</v>
      </c>
      <c r="Q206" s="54">
        <f t="shared" si="75"/>
        <v>0</v>
      </c>
      <c r="R206" s="54">
        <f t="shared" si="75"/>
        <v>0</v>
      </c>
      <c r="S206" s="54">
        <f t="shared" si="75"/>
        <v>0</v>
      </c>
      <c r="T206" s="54">
        <f t="shared" si="75"/>
        <v>0</v>
      </c>
      <c r="U206" s="54">
        <f t="shared" si="75"/>
        <v>0</v>
      </c>
      <c r="V206" s="54" t="str">
        <f t="shared" si="75"/>
        <v/>
      </c>
      <c r="W206" s="54" t="str">
        <f t="shared" si="75"/>
        <v/>
      </c>
      <c r="X206" s="54" t="str">
        <f t="shared" si="75"/>
        <v/>
      </c>
      <c r="Y206" s="54" t="str">
        <f t="shared" si="75"/>
        <v/>
      </c>
      <c r="Z206" s="54" t="str">
        <f t="shared" si="75"/>
        <v/>
      </c>
      <c r="AA206" s="54" t="str">
        <f t="shared" si="75"/>
        <v/>
      </c>
      <c r="AB206" s="54" t="str">
        <f t="shared" si="75"/>
        <v/>
      </c>
      <c r="AC206" s="54" t="str">
        <f t="shared" si="75"/>
        <v/>
      </c>
      <c r="AD206" s="54" t="str">
        <f t="shared" si="75"/>
        <v/>
      </c>
      <c r="AE206" s="54" t="str">
        <f t="shared" si="75"/>
        <v/>
      </c>
      <c r="AF206" s="54" t="str">
        <f t="shared" si="75"/>
        <v/>
      </c>
      <c r="AG206" s="54" t="str">
        <f t="shared" si="75"/>
        <v/>
      </c>
      <c r="AH206" s="54" t="str">
        <f t="shared" si="75"/>
        <v/>
      </c>
      <c r="AI206" s="54" t="str">
        <f t="shared" si="75"/>
        <v/>
      </c>
      <c r="AJ206" s="54" t="str">
        <f t="shared" si="75"/>
        <v/>
      </c>
      <c r="AK206" s="54" t="str">
        <f t="shared" si="75"/>
        <v/>
      </c>
      <c r="AL206" s="53" t="str">
        <f t="shared" si="75"/>
        <v/>
      </c>
      <c r="AM206" s="52"/>
    </row>
    <row r="207" spans="2:39" hidden="1" outlineLevel="2">
      <c r="B207" s="76"/>
      <c r="C207" s="76"/>
      <c r="D207" s="84" t="s">
        <v>14</v>
      </c>
      <c r="E207" s="99" t="s">
        <v>0</v>
      </c>
      <c r="F207" s="98">
        <f t="shared" ref="F207:AL212" si="76">+IF(F$220=0,"",F220-E220)</f>
        <v>3502179.1900000013</v>
      </c>
      <c r="G207" s="98">
        <f t="shared" si="76"/>
        <v>-1610020.0799999982</v>
      </c>
      <c r="H207" s="97">
        <f t="shared" si="76"/>
        <v>-2248108.8200000003</v>
      </c>
      <c r="I207" s="80">
        <f t="shared" si="76"/>
        <v>905164.89999999851</v>
      </c>
      <c r="J207" s="79">
        <f t="shared" si="76"/>
        <v>-1035944</v>
      </c>
      <c r="K207" s="79">
        <f t="shared" si="76"/>
        <v>-1278000</v>
      </c>
      <c r="L207" s="79">
        <f t="shared" si="76"/>
        <v>-356050</v>
      </c>
      <c r="M207" s="79">
        <f t="shared" si="76"/>
        <v>-6681</v>
      </c>
      <c r="N207" s="79">
        <f t="shared" si="76"/>
        <v>508118</v>
      </c>
      <c r="O207" s="79">
        <f t="shared" si="76"/>
        <v>-76639</v>
      </c>
      <c r="P207" s="79">
        <f t="shared" si="76"/>
        <v>439063</v>
      </c>
      <c r="Q207" s="79">
        <f t="shared" si="76"/>
        <v>655234</v>
      </c>
      <c r="R207" s="79">
        <f t="shared" si="76"/>
        <v>441891</v>
      </c>
      <c r="S207" s="79">
        <f t="shared" si="76"/>
        <v>409048</v>
      </c>
      <c r="T207" s="79">
        <f t="shared" si="76"/>
        <v>568720</v>
      </c>
      <c r="U207" s="79">
        <f t="shared" si="76"/>
        <v>1707921</v>
      </c>
      <c r="V207" s="79" t="str">
        <f t="shared" si="76"/>
        <v/>
      </c>
      <c r="W207" s="79" t="str">
        <f t="shared" si="76"/>
        <v/>
      </c>
      <c r="X207" s="79" t="str">
        <f t="shared" si="76"/>
        <v/>
      </c>
      <c r="Y207" s="79" t="str">
        <f t="shared" si="76"/>
        <v/>
      </c>
      <c r="Z207" s="79" t="str">
        <f t="shared" si="76"/>
        <v/>
      </c>
      <c r="AA207" s="79" t="str">
        <f t="shared" si="76"/>
        <v/>
      </c>
      <c r="AB207" s="79" t="str">
        <f t="shared" si="76"/>
        <v/>
      </c>
      <c r="AC207" s="79" t="str">
        <f t="shared" si="76"/>
        <v/>
      </c>
      <c r="AD207" s="79" t="str">
        <f t="shared" si="76"/>
        <v/>
      </c>
      <c r="AE207" s="79" t="str">
        <f t="shared" si="76"/>
        <v/>
      </c>
      <c r="AF207" s="79" t="str">
        <f t="shared" si="76"/>
        <v/>
      </c>
      <c r="AG207" s="79" t="str">
        <f t="shared" si="76"/>
        <v/>
      </c>
      <c r="AH207" s="79" t="str">
        <f t="shared" si="76"/>
        <v/>
      </c>
      <c r="AI207" s="79" t="str">
        <f t="shared" si="76"/>
        <v/>
      </c>
      <c r="AJ207" s="79" t="str">
        <f t="shared" si="76"/>
        <v/>
      </c>
      <c r="AK207" s="79" t="str">
        <f t="shared" si="76"/>
        <v/>
      </c>
      <c r="AL207" s="78" t="str">
        <f t="shared" si="76"/>
        <v/>
      </c>
      <c r="AM207" s="68"/>
    </row>
    <row r="208" spans="2:39" ht="15" hidden="1" outlineLevel="2">
      <c r="B208" s="60"/>
      <c r="C208" s="60"/>
      <c r="D208" s="77" t="s">
        <v>26</v>
      </c>
      <c r="E208" s="93" t="s">
        <v>0</v>
      </c>
      <c r="F208" s="92">
        <f t="shared" si="76"/>
        <v>3502179.1900000013</v>
      </c>
      <c r="G208" s="92">
        <f t="shared" si="76"/>
        <v>-1610020.0799999982</v>
      </c>
      <c r="H208" s="91">
        <f t="shared" si="76"/>
        <v>-2248108.8200000003</v>
      </c>
      <c r="I208" s="63">
        <f t="shared" si="76"/>
        <v>-1824963.1000000015</v>
      </c>
      <c r="J208" s="62">
        <f t="shared" si="76"/>
        <v>-181068</v>
      </c>
      <c r="K208" s="62">
        <f t="shared" si="76"/>
        <v>597252</v>
      </c>
      <c r="L208" s="62">
        <f t="shared" si="76"/>
        <v>-356050</v>
      </c>
      <c r="M208" s="62">
        <f t="shared" si="76"/>
        <v>-6681</v>
      </c>
      <c r="N208" s="62">
        <f t="shared" si="76"/>
        <v>508118</v>
      </c>
      <c r="O208" s="62">
        <f t="shared" si="76"/>
        <v>-76639</v>
      </c>
      <c r="P208" s="62">
        <f t="shared" si="76"/>
        <v>439063</v>
      </c>
      <c r="Q208" s="62">
        <f t="shared" si="76"/>
        <v>655234</v>
      </c>
      <c r="R208" s="62">
        <f t="shared" si="76"/>
        <v>441891</v>
      </c>
      <c r="S208" s="62">
        <f t="shared" si="76"/>
        <v>409048</v>
      </c>
      <c r="T208" s="62">
        <f t="shared" si="76"/>
        <v>568720</v>
      </c>
      <c r="U208" s="62">
        <f t="shared" si="76"/>
        <v>1707921</v>
      </c>
      <c r="V208" s="62" t="str">
        <f t="shared" si="76"/>
        <v/>
      </c>
      <c r="W208" s="62" t="str">
        <f t="shared" si="76"/>
        <v/>
      </c>
      <c r="X208" s="62" t="str">
        <f t="shared" si="76"/>
        <v/>
      </c>
      <c r="Y208" s="62" t="str">
        <f t="shared" si="76"/>
        <v/>
      </c>
      <c r="Z208" s="62" t="str">
        <f t="shared" si="76"/>
        <v/>
      </c>
      <c r="AA208" s="62" t="str">
        <f t="shared" si="76"/>
        <v/>
      </c>
      <c r="AB208" s="62" t="str">
        <f t="shared" si="76"/>
        <v/>
      </c>
      <c r="AC208" s="62" t="str">
        <f t="shared" si="76"/>
        <v/>
      </c>
      <c r="AD208" s="62" t="str">
        <f t="shared" si="76"/>
        <v/>
      </c>
      <c r="AE208" s="62" t="str">
        <f t="shared" si="76"/>
        <v/>
      </c>
      <c r="AF208" s="62" t="str">
        <f t="shared" si="76"/>
        <v/>
      </c>
      <c r="AG208" s="62" t="str">
        <f t="shared" si="76"/>
        <v/>
      </c>
      <c r="AH208" s="62" t="str">
        <f t="shared" si="76"/>
        <v/>
      </c>
      <c r="AI208" s="62" t="str">
        <f t="shared" si="76"/>
        <v/>
      </c>
      <c r="AJ208" s="62" t="str">
        <f t="shared" si="76"/>
        <v/>
      </c>
      <c r="AK208" s="62" t="str">
        <f t="shared" si="76"/>
        <v/>
      </c>
      <c r="AL208" s="61" t="str">
        <f t="shared" si="76"/>
        <v/>
      </c>
      <c r="AM208" s="52"/>
    </row>
    <row r="209" spans="2:39" hidden="1" outlineLevel="2">
      <c r="B209" s="76"/>
      <c r="C209" s="76"/>
      <c r="D209" s="75" t="s">
        <v>25</v>
      </c>
      <c r="E209" s="96" t="s">
        <v>0</v>
      </c>
      <c r="F209" s="95">
        <f t="shared" si="76"/>
        <v>-62501.11999999918</v>
      </c>
      <c r="G209" s="95">
        <f t="shared" si="76"/>
        <v>1704340.4399999995</v>
      </c>
      <c r="H209" s="94">
        <f t="shared" si="76"/>
        <v>-359264.3900000006</v>
      </c>
      <c r="I209" s="71">
        <f t="shared" si="76"/>
        <v>734411.47000000067</v>
      </c>
      <c r="J209" s="70">
        <f t="shared" si="76"/>
        <v>-1627692</v>
      </c>
      <c r="K209" s="70">
        <f t="shared" si="76"/>
        <v>690</v>
      </c>
      <c r="L209" s="70">
        <f t="shared" si="76"/>
        <v>372860</v>
      </c>
      <c r="M209" s="70">
        <f t="shared" si="76"/>
        <v>387396</v>
      </c>
      <c r="N209" s="70">
        <f t="shared" si="76"/>
        <v>407308</v>
      </c>
      <c r="O209" s="70">
        <f t="shared" si="76"/>
        <v>420607</v>
      </c>
      <c r="P209" s="70">
        <f t="shared" si="76"/>
        <v>398305</v>
      </c>
      <c r="Q209" s="70">
        <f t="shared" si="76"/>
        <v>406415</v>
      </c>
      <c r="R209" s="70">
        <f t="shared" si="76"/>
        <v>426946</v>
      </c>
      <c r="S209" s="70">
        <f t="shared" si="76"/>
        <v>433915</v>
      </c>
      <c r="T209" s="70">
        <f t="shared" si="76"/>
        <v>439334</v>
      </c>
      <c r="U209" s="70">
        <f t="shared" si="76"/>
        <v>452212</v>
      </c>
      <c r="V209" s="70" t="str">
        <f t="shared" si="76"/>
        <v/>
      </c>
      <c r="W209" s="70" t="str">
        <f t="shared" si="76"/>
        <v/>
      </c>
      <c r="X209" s="70" t="str">
        <f t="shared" si="76"/>
        <v/>
      </c>
      <c r="Y209" s="70" t="str">
        <f t="shared" si="76"/>
        <v/>
      </c>
      <c r="Z209" s="70" t="str">
        <f t="shared" si="76"/>
        <v/>
      </c>
      <c r="AA209" s="70" t="str">
        <f t="shared" si="76"/>
        <v/>
      </c>
      <c r="AB209" s="70" t="str">
        <f t="shared" si="76"/>
        <v/>
      </c>
      <c r="AC209" s="70" t="str">
        <f t="shared" si="76"/>
        <v/>
      </c>
      <c r="AD209" s="70" t="str">
        <f t="shared" si="76"/>
        <v/>
      </c>
      <c r="AE209" s="70" t="str">
        <f t="shared" si="76"/>
        <v/>
      </c>
      <c r="AF209" s="70" t="str">
        <f t="shared" si="76"/>
        <v/>
      </c>
      <c r="AG209" s="70" t="str">
        <f t="shared" si="76"/>
        <v/>
      </c>
      <c r="AH209" s="70" t="str">
        <f t="shared" si="76"/>
        <v/>
      </c>
      <c r="AI209" s="70" t="str">
        <f t="shared" si="76"/>
        <v/>
      </c>
      <c r="AJ209" s="70" t="str">
        <f t="shared" si="76"/>
        <v/>
      </c>
      <c r="AK209" s="70" t="str">
        <f t="shared" si="76"/>
        <v/>
      </c>
      <c r="AL209" s="69" t="str">
        <f t="shared" si="76"/>
        <v/>
      </c>
      <c r="AM209" s="68"/>
    </row>
    <row r="210" spans="2:39" ht="15" hidden="1" outlineLevel="2">
      <c r="B210" s="60"/>
      <c r="C210" s="60"/>
      <c r="D210" s="67" t="s">
        <v>24</v>
      </c>
      <c r="E210" s="93" t="s">
        <v>0</v>
      </c>
      <c r="F210" s="92">
        <f t="shared" si="76"/>
        <v>-62501.11999999918</v>
      </c>
      <c r="G210" s="92">
        <f t="shared" si="76"/>
        <v>1704340.4399999995</v>
      </c>
      <c r="H210" s="91">
        <f t="shared" si="76"/>
        <v>-359264.3900000006</v>
      </c>
      <c r="I210" s="63">
        <f t="shared" si="76"/>
        <v>471403.47000000067</v>
      </c>
      <c r="J210" s="62">
        <f t="shared" si="76"/>
        <v>-1387694</v>
      </c>
      <c r="K210" s="62">
        <f t="shared" si="76"/>
        <v>23700</v>
      </c>
      <c r="L210" s="62">
        <f t="shared" si="76"/>
        <v>372860</v>
      </c>
      <c r="M210" s="62">
        <f t="shared" si="76"/>
        <v>387396</v>
      </c>
      <c r="N210" s="62">
        <f t="shared" si="76"/>
        <v>407308</v>
      </c>
      <c r="O210" s="62">
        <f t="shared" si="76"/>
        <v>420607</v>
      </c>
      <c r="P210" s="62">
        <f t="shared" si="76"/>
        <v>398305</v>
      </c>
      <c r="Q210" s="62">
        <f t="shared" si="76"/>
        <v>406415</v>
      </c>
      <c r="R210" s="62">
        <f t="shared" si="76"/>
        <v>426946</v>
      </c>
      <c r="S210" s="62">
        <f t="shared" si="76"/>
        <v>433915</v>
      </c>
      <c r="T210" s="62">
        <f t="shared" si="76"/>
        <v>439334</v>
      </c>
      <c r="U210" s="62">
        <f t="shared" si="76"/>
        <v>452212</v>
      </c>
      <c r="V210" s="62" t="str">
        <f t="shared" si="76"/>
        <v/>
      </c>
      <c r="W210" s="62" t="str">
        <f t="shared" si="76"/>
        <v/>
      </c>
      <c r="X210" s="62" t="str">
        <f t="shared" si="76"/>
        <v/>
      </c>
      <c r="Y210" s="62" t="str">
        <f t="shared" si="76"/>
        <v/>
      </c>
      <c r="Z210" s="62" t="str">
        <f t="shared" si="76"/>
        <v/>
      </c>
      <c r="AA210" s="62" t="str">
        <f t="shared" si="76"/>
        <v/>
      </c>
      <c r="AB210" s="62" t="str">
        <f t="shared" si="76"/>
        <v/>
      </c>
      <c r="AC210" s="62" t="str">
        <f t="shared" si="76"/>
        <v/>
      </c>
      <c r="AD210" s="62" t="str">
        <f t="shared" si="76"/>
        <v/>
      </c>
      <c r="AE210" s="62" t="str">
        <f t="shared" si="76"/>
        <v/>
      </c>
      <c r="AF210" s="62" t="str">
        <f t="shared" si="76"/>
        <v/>
      </c>
      <c r="AG210" s="62" t="str">
        <f t="shared" si="76"/>
        <v/>
      </c>
      <c r="AH210" s="62" t="str">
        <f t="shared" si="76"/>
        <v/>
      </c>
      <c r="AI210" s="62" t="str">
        <f t="shared" si="76"/>
        <v/>
      </c>
      <c r="AJ210" s="62" t="str">
        <f t="shared" si="76"/>
        <v/>
      </c>
      <c r="AK210" s="62" t="str">
        <f t="shared" si="76"/>
        <v/>
      </c>
      <c r="AL210" s="61" t="str">
        <f t="shared" si="76"/>
        <v/>
      </c>
      <c r="AM210" s="52"/>
    </row>
    <row r="211" spans="2:39" ht="15" hidden="1" outlineLevel="2">
      <c r="B211" s="60"/>
      <c r="C211" s="60"/>
      <c r="D211" s="67" t="s">
        <v>23</v>
      </c>
      <c r="E211" s="93" t="s">
        <v>0</v>
      </c>
      <c r="F211" s="92">
        <f t="shared" si="76"/>
        <v>5923327</v>
      </c>
      <c r="G211" s="92">
        <f t="shared" si="76"/>
        <v>630063.08999999985</v>
      </c>
      <c r="H211" s="91">
        <f t="shared" si="76"/>
        <v>-100000</v>
      </c>
      <c r="I211" s="63">
        <f t="shared" si="76"/>
        <v>262543.91000000015</v>
      </c>
      <c r="J211" s="62">
        <f t="shared" si="76"/>
        <v>42874</v>
      </c>
      <c r="K211" s="62">
        <f t="shared" si="76"/>
        <v>202765</v>
      </c>
      <c r="L211" s="62">
        <f t="shared" si="76"/>
        <v>208847</v>
      </c>
      <c r="M211" s="62">
        <f t="shared" si="76"/>
        <v>215112</v>
      </c>
      <c r="N211" s="62">
        <f t="shared" si="76"/>
        <v>221566</v>
      </c>
      <c r="O211" s="62">
        <f t="shared" si="76"/>
        <v>228213</v>
      </c>
      <c r="P211" s="62">
        <f t="shared" si="76"/>
        <v>235060</v>
      </c>
      <c r="Q211" s="62">
        <f t="shared" si="76"/>
        <v>242111</v>
      </c>
      <c r="R211" s="62">
        <f t="shared" si="76"/>
        <v>249374</v>
      </c>
      <c r="S211" s="62">
        <f t="shared" si="76"/>
        <v>256856</v>
      </c>
      <c r="T211" s="62">
        <f t="shared" si="76"/>
        <v>264561</v>
      </c>
      <c r="U211" s="62">
        <f t="shared" si="76"/>
        <v>272498</v>
      </c>
      <c r="V211" s="62" t="str">
        <f t="shared" si="76"/>
        <v/>
      </c>
      <c r="W211" s="62" t="str">
        <f t="shared" si="76"/>
        <v/>
      </c>
      <c r="X211" s="62" t="str">
        <f t="shared" si="76"/>
        <v/>
      </c>
      <c r="Y211" s="62" t="str">
        <f t="shared" si="76"/>
        <v/>
      </c>
      <c r="Z211" s="62" t="str">
        <f t="shared" si="76"/>
        <v/>
      </c>
      <c r="AA211" s="62" t="str">
        <f t="shared" si="76"/>
        <v/>
      </c>
      <c r="AB211" s="62" t="str">
        <f t="shared" si="76"/>
        <v/>
      </c>
      <c r="AC211" s="62" t="str">
        <f t="shared" si="76"/>
        <v/>
      </c>
      <c r="AD211" s="62" t="str">
        <f t="shared" si="76"/>
        <v/>
      </c>
      <c r="AE211" s="62" t="str">
        <f t="shared" si="76"/>
        <v/>
      </c>
      <c r="AF211" s="62" t="str">
        <f t="shared" si="76"/>
        <v/>
      </c>
      <c r="AG211" s="62" t="str">
        <f t="shared" si="76"/>
        <v/>
      </c>
      <c r="AH211" s="62" t="str">
        <f t="shared" si="76"/>
        <v/>
      </c>
      <c r="AI211" s="62" t="str">
        <f t="shared" si="76"/>
        <v/>
      </c>
      <c r="AJ211" s="62" t="str">
        <f t="shared" si="76"/>
        <v/>
      </c>
      <c r="AK211" s="62" t="str">
        <f t="shared" si="76"/>
        <v/>
      </c>
      <c r="AL211" s="61" t="str">
        <f t="shared" si="76"/>
        <v/>
      </c>
      <c r="AM211" s="52"/>
    </row>
    <row r="212" spans="2:39" ht="24" hidden="1" outlineLevel="2">
      <c r="B212" s="60"/>
      <c r="C212" s="60"/>
      <c r="D212" s="59" t="s">
        <v>22</v>
      </c>
      <c r="E212" s="90" t="s">
        <v>0</v>
      </c>
      <c r="F212" s="89">
        <f t="shared" si="76"/>
        <v>-6412224.3299999982</v>
      </c>
      <c r="G212" s="89">
        <f t="shared" si="76"/>
        <v>3216051.1999999993</v>
      </c>
      <c r="H212" s="88">
        <f t="shared" si="76"/>
        <v>-2862460.120000001</v>
      </c>
      <c r="I212" s="55">
        <f t="shared" si="76"/>
        <v>-1114099.709999999</v>
      </c>
      <c r="J212" s="54">
        <f t="shared" si="76"/>
        <v>-552283</v>
      </c>
      <c r="K212" s="54">
        <f t="shared" si="76"/>
        <v>-347075</v>
      </c>
      <c r="L212" s="54">
        <f t="shared" si="76"/>
        <v>159013</v>
      </c>
      <c r="M212" s="54">
        <f t="shared" si="76"/>
        <v>115284</v>
      </c>
      <c r="N212" s="54">
        <f t="shared" si="76"/>
        <v>121742</v>
      </c>
      <c r="O212" s="54">
        <f t="shared" si="76"/>
        <v>128394</v>
      </c>
      <c r="P212" s="54">
        <f t="shared" si="76"/>
        <v>135245</v>
      </c>
      <c r="Q212" s="54">
        <f t="shared" si="76"/>
        <v>142304</v>
      </c>
      <c r="R212" s="54">
        <f t="shared" si="76"/>
        <v>149572</v>
      </c>
      <c r="S212" s="54">
        <f t="shared" si="76"/>
        <v>157059</v>
      </c>
      <c r="T212" s="54">
        <f t="shared" si="76"/>
        <v>164773</v>
      </c>
      <c r="U212" s="54">
        <f t="shared" si="76"/>
        <v>172714</v>
      </c>
      <c r="V212" s="54" t="str">
        <f t="shared" si="76"/>
        <v/>
      </c>
      <c r="W212" s="54" t="str">
        <f t="shared" si="76"/>
        <v/>
      </c>
      <c r="X212" s="54" t="str">
        <f t="shared" si="76"/>
        <v/>
      </c>
      <c r="Y212" s="54" t="str">
        <f t="shared" si="76"/>
        <v/>
      </c>
      <c r="Z212" s="54" t="str">
        <f t="shared" si="76"/>
        <v/>
      </c>
      <c r="AA212" s="54" t="str">
        <f t="shared" si="76"/>
        <v/>
      </c>
      <c r="AB212" s="54" t="str">
        <f t="shared" si="76"/>
        <v/>
      </c>
      <c r="AC212" s="54" t="str">
        <f t="shared" si="76"/>
        <v/>
      </c>
      <c r="AD212" s="54" t="str">
        <f t="shared" si="76"/>
        <v/>
      </c>
      <c r="AE212" s="54" t="str">
        <f t="shared" si="76"/>
        <v/>
      </c>
      <c r="AF212" s="54" t="str">
        <f t="shared" si="76"/>
        <v/>
      </c>
      <c r="AG212" s="54" t="str">
        <f t="shared" si="76"/>
        <v/>
      </c>
      <c r="AH212" s="54" t="str">
        <f t="shared" si="76"/>
        <v/>
      </c>
      <c r="AI212" s="54" t="str">
        <f t="shared" si="76"/>
        <v/>
      </c>
      <c r="AJ212" s="54" t="str">
        <f t="shared" si="76"/>
        <v/>
      </c>
      <c r="AK212" s="54" t="str">
        <f t="shared" si="76"/>
        <v/>
      </c>
      <c r="AL212" s="53" t="str">
        <f t="shared" si="76"/>
        <v/>
      </c>
      <c r="AM212" s="52"/>
    </row>
    <row r="213" spans="2:39" ht="15" hidden="1" outlineLevel="1">
      <c r="B213" s="60"/>
      <c r="C213" s="60"/>
      <c r="D213" s="48" t="s">
        <v>32</v>
      </c>
      <c r="E213" s="87"/>
      <c r="F213" s="87"/>
      <c r="G213" s="87"/>
      <c r="H213" s="87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52"/>
    </row>
    <row r="214" spans="2:39" hidden="1" outlineLevel="2">
      <c r="B214" s="76"/>
      <c r="C214" s="76"/>
      <c r="D214" s="84" t="s">
        <v>18</v>
      </c>
      <c r="E214" s="83">
        <f>+E5</f>
        <v>16360657.9</v>
      </c>
      <c r="F214" s="82">
        <f>+F5</f>
        <v>15865865.16</v>
      </c>
      <c r="G214" s="82">
        <f>+G5</f>
        <v>18420868.920000002</v>
      </c>
      <c r="H214" s="81">
        <f>+H5</f>
        <v>18510610.399999999</v>
      </c>
      <c r="I214" s="80">
        <f t="shared" ref="I214:AK214" si="77">+I5</f>
        <v>18901944</v>
      </c>
      <c r="J214" s="79">
        <f t="shared" si="77"/>
        <v>18778000</v>
      </c>
      <c r="K214" s="79">
        <f t="shared" si="77"/>
        <v>17100000</v>
      </c>
      <c r="L214" s="79">
        <f t="shared" si="77"/>
        <v>17043950</v>
      </c>
      <c r="M214" s="79">
        <f t="shared" si="77"/>
        <v>17237269</v>
      </c>
      <c r="N214" s="79">
        <f t="shared" si="77"/>
        <v>17745387</v>
      </c>
      <c r="O214" s="79">
        <f t="shared" si="77"/>
        <v>18268748</v>
      </c>
      <c r="P214" s="79">
        <f t="shared" si="77"/>
        <v>18807811</v>
      </c>
      <c r="Q214" s="79">
        <f t="shared" si="77"/>
        <v>19363045</v>
      </c>
      <c r="R214" s="79">
        <f t="shared" si="77"/>
        <v>19934936</v>
      </c>
      <c r="S214" s="79">
        <f t="shared" si="77"/>
        <v>20523984</v>
      </c>
      <c r="T214" s="79">
        <f t="shared" si="77"/>
        <v>21130704</v>
      </c>
      <c r="U214" s="79">
        <f t="shared" si="77"/>
        <v>21755625</v>
      </c>
      <c r="V214" s="79">
        <f t="shared" si="77"/>
        <v>0</v>
      </c>
      <c r="W214" s="79">
        <f t="shared" si="77"/>
        <v>0</v>
      </c>
      <c r="X214" s="79">
        <f t="shared" si="77"/>
        <v>0</v>
      </c>
      <c r="Y214" s="79">
        <f t="shared" si="77"/>
        <v>0</v>
      </c>
      <c r="Z214" s="79">
        <f t="shared" si="77"/>
        <v>0</v>
      </c>
      <c r="AA214" s="79">
        <f t="shared" si="77"/>
        <v>0</v>
      </c>
      <c r="AB214" s="79">
        <f t="shared" si="77"/>
        <v>0</v>
      </c>
      <c r="AC214" s="79">
        <f t="shared" si="77"/>
        <v>0</v>
      </c>
      <c r="AD214" s="79">
        <f t="shared" si="77"/>
        <v>0</v>
      </c>
      <c r="AE214" s="79">
        <f t="shared" si="77"/>
        <v>0</v>
      </c>
      <c r="AF214" s="79">
        <f t="shared" si="77"/>
        <v>0</v>
      </c>
      <c r="AG214" s="79">
        <f t="shared" si="77"/>
        <v>0</v>
      </c>
      <c r="AH214" s="79">
        <f t="shared" si="77"/>
        <v>0</v>
      </c>
      <c r="AI214" s="79">
        <f t="shared" si="77"/>
        <v>0</v>
      </c>
      <c r="AJ214" s="79">
        <f t="shared" si="77"/>
        <v>0</v>
      </c>
      <c r="AK214" s="79">
        <f t="shared" si="77"/>
        <v>0</v>
      </c>
      <c r="AL214" s="78">
        <f>+AL5</f>
        <v>0</v>
      </c>
      <c r="AM214" s="68"/>
    </row>
    <row r="215" spans="2:39" ht="15" hidden="1" outlineLevel="2">
      <c r="B215" s="60"/>
      <c r="C215" s="60"/>
      <c r="D215" s="85" t="s">
        <v>31</v>
      </c>
      <c r="E215" s="66">
        <f>+(E5-E72-E75)</f>
        <v>16360657.9</v>
      </c>
      <c r="F215" s="65">
        <f>+(F5-F72-F75)</f>
        <v>15865865.16</v>
      </c>
      <c r="G215" s="65">
        <f>+(G5-G72-G75)</f>
        <v>18420868.920000002</v>
      </c>
      <c r="H215" s="64">
        <f>+(H5-H72-H75)</f>
        <v>18510610.399999999</v>
      </c>
      <c r="I215" s="63">
        <f>+(I5-I72-I75)</f>
        <v>17241118</v>
      </c>
      <c r="J215" s="62">
        <f t="shared" ref="J215:AL215" si="78">+(J5-J72-J75)</f>
        <v>16184656</v>
      </c>
      <c r="K215" s="62">
        <f t="shared" si="78"/>
        <v>17100000</v>
      </c>
      <c r="L215" s="62">
        <f t="shared" si="78"/>
        <v>17043950</v>
      </c>
      <c r="M215" s="62">
        <f t="shared" si="78"/>
        <v>17237269</v>
      </c>
      <c r="N215" s="62">
        <f t="shared" si="78"/>
        <v>17745387</v>
      </c>
      <c r="O215" s="62">
        <f t="shared" si="78"/>
        <v>18268748</v>
      </c>
      <c r="P215" s="62">
        <f t="shared" si="78"/>
        <v>18807811</v>
      </c>
      <c r="Q215" s="62">
        <f t="shared" si="78"/>
        <v>19363045</v>
      </c>
      <c r="R215" s="62">
        <f t="shared" si="78"/>
        <v>19934936</v>
      </c>
      <c r="S215" s="62">
        <f t="shared" si="78"/>
        <v>20523984</v>
      </c>
      <c r="T215" s="62">
        <f t="shared" si="78"/>
        <v>21130704</v>
      </c>
      <c r="U215" s="62">
        <f t="shared" si="78"/>
        <v>21755625</v>
      </c>
      <c r="V215" s="62">
        <f t="shared" si="78"/>
        <v>0</v>
      </c>
      <c r="W215" s="62">
        <f t="shared" si="78"/>
        <v>0</v>
      </c>
      <c r="X215" s="62">
        <f t="shared" si="78"/>
        <v>0</v>
      </c>
      <c r="Y215" s="62">
        <f t="shared" si="78"/>
        <v>0</v>
      </c>
      <c r="Z215" s="62">
        <f t="shared" si="78"/>
        <v>0</v>
      </c>
      <c r="AA215" s="62">
        <f t="shared" si="78"/>
        <v>0</v>
      </c>
      <c r="AB215" s="62">
        <f t="shared" si="78"/>
        <v>0</v>
      </c>
      <c r="AC215" s="62">
        <f t="shared" si="78"/>
        <v>0</v>
      </c>
      <c r="AD215" s="62">
        <f t="shared" si="78"/>
        <v>0</v>
      </c>
      <c r="AE215" s="62">
        <f t="shared" si="78"/>
        <v>0</v>
      </c>
      <c r="AF215" s="62">
        <f t="shared" si="78"/>
        <v>0</v>
      </c>
      <c r="AG215" s="62">
        <f t="shared" si="78"/>
        <v>0</v>
      </c>
      <c r="AH215" s="62">
        <f t="shared" si="78"/>
        <v>0</v>
      </c>
      <c r="AI215" s="62">
        <f t="shared" si="78"/>
        <v>0</v>
      </c>
      <c r="AJ215" s="62">
        <f t="shared" si="78"/>
        <v>0</v>
      </c>
      <c r="AK215" s="62">
        <f t="shared" si="78"/>
        <v>0</v>
      </c>
      <c r="AL215" s="61">
        <f t="shared" si="78"/>
        <v>0</v>
      </c>
      <c r="AM215" s="52"/>
    </row>
    <row r="216" spans="2:39" ht="15" hidden="1" outlineLevel="2">
      <c r="B216" s="60"/>
      <c r="C216" s="60"/>
      <c r="D216" s="67" t="s">
        <v>30</v>
      </c>
      <c r="E216" s="66">
        <f>+E6-E72</f>
        <v>13328461.310000001</v>
      </c>
      <c r="F216" s="65">
        <f>+F6-F72</f>
        <v>14133461.960000001</v>
      </c>
      <c r="G216" s="65">
        <f>+G6-G72</f>
        <v>15732874.92</v>
      </c>
      <c r="H216" s="64">
        <f>+H6-H72</f>
        <v>15979638.24</v>
      </c>
      <c r="I216" s="63">
        <f>+I6-I72</f>
        <v>15612579</v>
      </c>
      <c r="J216" s="62">
        <f t="shared" ref="J216:AL216" si="79">+J6-J72</f>
        <v>16000000</v>
      </c>
      <c r="K216" s="62">
        <f t="shared" si="79"/>
        <v>16800000</v>
      </c>
      <c r="L216" s="62">
        <f t="shared" si="79"/>
        <v>16743950</v>
      </c>
      <c r="M216" s="62">
        <f t="shared" si="79"/>
        <v>16937269</v>
      </c>
      <c r="N216" s="62">
        <f t="shared" si="79"/>
        <v>17445387</v>
      </c>
      <c r="O216" s="62">
        <f t="shared" si="79"/>
        <v>17968748</v>
      </c>
      <c r="P216" s="62">
        <f t="shared" si="79"/>
        <v>18507811</v>
      </c>
      <c r="Q216" s="62">
        <f t="shared" si="79"/>
        <v>19063045</v>
      </c>
      <c r="R216" s="62">
        <f t="shared" si="79"/>
        <v>19634936</v>
      </c>
      <c r="S216" s="62">
        <f t="shared" si="79"/>
        <v>20223984</v>
      </c>
      <c r="T216" s="62">
        <f t="shared" si="79"/>
        <v>20830704</v>
      </c>
      <c r="U216" s="62">
        <f t="shared" si="79"/>
        <v>21455625</v>
      </c>
      <c r="V216" s="62">
        <f t="shared" si="79"/>
        <v>0</v>
      </c>
      <c r="W216" s="62">
        <f t="shared" si="79"/>
        <v>0</v>
      </c>
      <c r="X216" s="62">
        <f t="shared" si="79"/>
        <v>0</v>
      </c>
      <c r="Y216" s="62">
        <f t="shared" si="79"/>
        <v>0</v>
      </c>
      <c r="Z216" s="62">
        <f t="shared" si="79"/>
        <v>0</v>
      </c>
      <c r="AA216" s="62">
        <f t="shared" si="79"/>
        <v>0</v>
      </c>
      <c r="AB216" s="62">
        <f t="shared" si="79"/>
        <v>0</v>
      </c>
      <c r="AC216" s="62">
        <f t="shared" si="79"/>
        <v>0</v>
      </c>
      <c r="AD216" s="62">
        <f t="shared" si="79"/>
        <v>0</v>
      </c>
      <c r="AE216" s="62">
        <f t="shared" si="79"/>
        <v>0</v>
      </c>
      <c r="AF216" s="62">
        <f t="shared" si="79"/>
        <v>0</v>
      </c>
      <c r="AG216" s="62">
        <f t="shared" si="79"/>
        <v>0</v>
      </c>
      <c r="AH216" s="62">
        <f t="shared" si="79"/>
        <v>0</v>
      </c>
      <c r="AI216" s="62">
        <f t="shared" si="79"/>
        <v>0</v>
      </c>
      <c r="AJ216" s="62">
        <f t="shared" si="79"/>
        <v>0</v>
      </c>
      <c r="AK216" s="62">
        <f t="shared" si="79"/>
        <v>0</v>
      </c>
      <c r="AL216" s="61">
        <f t="shared" si="79"/>
        <v>0</v>
      </c>
      <c r="AM216" s="52"/>
    </row>
    <row r="217" spans="2:39" ht="15" hidden="1" outlineLevel="2">
      <c r="B217" s="60"/>
      <c r="C217" s="60"/>
      <c r="D217" s="67" t="s">
        <v>29</v>
      </c>
      <c r="E217" s="66">
        <f>+E13-E75</f>
        <v>3032196.59</v>
      </c>
      <c r="F217" s="65">
        <f>+F13-F75</f>
        <v>1732403.2</v>
      </c>
      <c r="G217" s="65">
        <f>+G13-G75</f>
        <v>2687994</v>
      </c>
      <c r="H217" s="64">
        <f>+H13-H75</f>
        <v>2530972.16</v>
      </c>
      <c r="I217" s="63">
        <f>+I13-I75</f>
        <v>1628539</v>
      </c>
      <c r="J217" s="62">
        <f t="shared" ref="J217:AL217" si="80">+J13-J75</f>
        <v>184656</v>
      </c>
      <c r="K217" s="62">
        <f t="shared" si="80"/>
        <v>300000</v>
      </c>
      <c r="L217" s="62">
        <f t="shared" si="80"/>
        <v>300000</v>
      </c>
      <c r="M217" s="62">
        <f t="shared" si="80"/>
        <v>300000</v>
      </c>
      <c r="N217" s="62">
        <f t="shared" si="80"/>
        <v>300000</v>
      </c>
      <c r="O217" s="62">
        <f t="shared" si="80"/>
        <v>300000</v>
      </c>
      <c r="P217" s="62">
        <f t="shared" si="80"/>
        <v>300000</v>
      </c>
      <c r="Q217" s="62">
        <f t="shared" si="80"/>
        <v>300000</v>
      </c>
      <c r="R217" s="62">
        <f t="shared" si="80"/>
        <v>300000</v>
      </c>
      <c r="S217" s="62">
        <f t="shared" si="80"/>
        <v>300000</v>
      </c>
      <c r="T217" s="62">
        <f t="shared" si="80"/>
        <v>300000</v>
      </c>
      <c r="U217" s="62">
        <f t="shared" si="80"/>
        <v>300000</v>
      </c>
      <c r="V217" s="62">
        <f t="shared" si="80"/>
        <v>0</v>
      </c>
      <c r="W217" s="62">
        <f t="shared" si="80"/>
        <v>0</v>
      </c>
      <c r="X217" s="62">
        <f t="shared" si="80"/>
        <v>0</v>
      </c>
      <c r="Y217" s="62">
        <f t="shared" si="80"/>
        <v>0</v>
      </c>
      <c r="Z217" s="62">
        <f t="shared" si="80"/>
        <v>0</v>
      </c>
      <c r="AA217" s="62">
        <f t="shared" si="80"/>
        <v>0</v>
      </c>
      <c r="AB217" s="62">
        <f t="shared" si="80"/>
        <v>0</v>
      </c>
      <c r="AC217" s="62">
        <f t="shared" si="80"/>
        <v>0</v>
      </c>
      <c r="AD217" s="62">
        <f t="shared" si="80"/>
        <v>0</v>
      </c>
      <c r="AE217" s="62">
        <f t="shared" si="80"/>
        <v>0</v>
      </c>
      <c r="AF217" s="62">
        <f t="shared" si="80"/>
        <v>0</v>
      </c>
      <c r="AG217" s="62">
        <f t="shared" si="80"/>
        <v>0</v>
      </c>
      <c r="AH217" s="62">
        <f t="shared" si="80"/>
        <v>0</v>
      </c>
      <c r="AI217" s="62">
        <f t="shared" si="80"/>
        <v>0</v>
      </c>
      <c r="AJ217" s="62">
        <f t="shared" si="80"/>
        <v>0</v>
      </c>
      <c r="AK217" s="62">
        <f t="shared" si="80"/>
        <v>0</v>
      </c>
      <c r="AL217" s="61">
        <f t="shared" si="80"/>
        <v>0</v>
      </c>
      <c r="AM217" s="52"/>
    </row>
    <row r="218" spans="2:39" ht="24" hidden="1" outlineLevel="2">
      <c r="B218" s="60"/>
      <c r="C218" s="60"/>
      <c r="D218" s="67" t="s">
        <v>28</v>
      </c>
      <c r="E218" s="66">
        <f>+E13-E75-E14</f>
        <v>2939258.5999999996</v>
      </c>
      <c r="F218" s="65">
        <f>+F13-F75-F14</f>
        <v>1607313</v>
      </c>
      <c r="G218" s="65">
        <f>+G13-G75-G14</f>
        <v>2427994</v>
      </c>
      <c r="H218" s="64">
        <f>+H13-H75-H14</f>
        <v>2335246.3800000004</v>
      </c>
      <c r="I218" s="63">
        <f>+I13-I75-I14</f>
        <v>8539</v>
      </c>
      <c r="J218" s="62">
        <f t="shared" ref="J218:AL218" si="81">+J13-J75-J14</f>
        <v>-115344</v>
      </c>
      <c r="K218" s="62">
        <f t="shared" si="81"/>
        <v>0</v>
      </c>
      <c r="L218" s="62">
        <f t="shared" si="81"/>
        <v>0</v>
      </c>
      <c r="M218" s="62">
        <f t="shared" si="81"/>
        <v>0</v>
      </c>
      <c r="N218" s="62">
        <f t="shared" si="81"/>
        <v>0</v>
      </c>
      <c r="O218" s="62">
        <f t="shared" si="81"/>
        <v>0</v>
      </c>
      <c r="P218" s="62">
        <f t="shared" si="81"/>
        <v>0</v>
      </c>
      <c r="Q218" s="62">
        <f t="shared" si="81"/>
        <v>0</v>
      </c>
      <c r="R218" s="62">
        <f t="shared" si="81"/>
        <v>0</v>
      </c>
      <c r="S218" s="62">
        <f t="shared" si="81"/>
        <v>0</v>
      </c>
      <c r="T218" s="62">
        <f t="shared" si="81"/>
        <v>0</v>
      </c>
      <c r="U218" s="62">
        <f t="shared" si="81"/>
        <v>0</v>
      </c>
      <c r="V218" s="62">
        <f t="shared" si="81"/>
        <v>0</v>
      </c>
      <c r="W218" s="62">
        <f t="shared" si="81"/>
        <v>0</v>
      </c>
      <c r="X218" s="62">
        <f t="shared" si="81"/>
        <v>0</v>
      </c>
      <c r="Y218" s="62">
        <f t="shared" si="81"/>
        <v>0</v>
      </c>
      <c r="Z218" s="62">
        <f t="shared" si="81"/>
        <v>0</v>
      </c>
      <c r="AA218" s="62">
        <f t="shared" si="81"/>
        <v>0</v>
      </c>
      <c r="AB218" s="62">
        <f t="shared" si="81"/>
        <v>0</v>
      </c>
      <c r="AC218" s="62">
        <f t="shared" si="81"/>
        <v>0</v>
      </c>
      <c r="AD218" s="62">
        <f t="shared" si="81"/>
        <v>0</v>
      </c>
      <c r="AE218" s="62">
        <f t="shared" si="81"/>
        <v>0</v>
      </c>
      <c r="AF218" s="62">
        <f t="shared" si="81"/>
        <v>0</v>
      </c>
      <c r="AG218" s="62">
        <f t="shared" si="81"/>
        <v>0</v>
      </c>
      <c r="AH218" s="62">
        <f t="shared" si="81"/>
        <v>0</v>
      </c>
      <c r="AI218" s="62">
        <f t="shared" si="81"/>
        <v>0</v>
      </c>
      <c r="AJ218" s="62">
        <f t="shared" si="81"/>
        <v>0</v>
      </c>
      <c r="AK218" s="62">
        <f t="shared" si="81"/>
        <v>0</v>
      </c>
      <c r="AL218" s="61">
        <f t="shared" si="81"/>
        <v>0</v>
      </c>
      <c r="AM218" s="52"/>
    </row>
    <row r="219" spans="2:39" ht="15" hidden="1" outlineLevel="2">
      <c r="B219" s="60"/>
      <c r="C219" s="60"/>
      <c r="D219" s="59" t="s">
        <v>27</v>
      </c>
      <c r="E219" s="58">
        <f>+E14</f>
        <v>92937.99</v>
      </c>
      <c r="F219" s="57">
        <f>+F14</f>
        <v>125090.2</v>
      </c>
      <c r="G219" s="57">
        <f>+G14</f>
        <v>260000</v>
      </c>
      <c r="H219" s="56">
        <f>+H14</f>
        <v>195725.78</v>
      </c>
      <c r="I219" s="55">
        <f>+I14</f>
        <v>1620000</v>
      </c>
      <c r="J219" s="54">
        <f t="shared" ref="J219:AL219" si="82">+J14</f>
        <v>300000</v>
      </c>
      <c r="K219" s="54">
        <f t="shared" si="82"/>
        <v>300000</v>
      </c>
      <c r="L219" s="54">
        <f t="shared" si="82"/>
        <v>300000</v>
      </c>
      <c r="M219" s="54">
        <f t="shared" si="82"/>
        <v>300000</v>
      </c>
      <c r="N219" s="54">
        <f t="shared" si="82"/>
        <v>300000</v>
      </c>
      <c r="O219" s="54">
        <f t="shared" si="82"/>
        <v>300000</v>
      </c>
      <c r="P219" s="54">
        <f t="shared" si="82"/>
        <v>300000</v>
      </c>
      <c r="Q219" s="54">
        <f t="shared" si="82"/>
        <v>300000</v>
      </c>
      <c r="R219" s="54">
        <f t="shared" si="82"/>
        <v>300000</v>
      </c>
      <c r="S219" s="54">
        <f t="shared" si="82"/>
        <v>300000</v>
      </c>
      <c r="T219" s="54">
        <f t="shared" si="82"/>
        <v>300000</v>
      </c>
      <c r="U219" s="54">
        <f t="shared" si="82"/>
        <v>300000</v>
      </c>
      <c r="V219" s="54">
        <f t="shared" si="82"/>
        <v>0</v>
      </c>
      <c r="W219" s="54">
        <f t="shared" si="82"/>
        <v>0</v>
      </c>
      <c r="X219" s="54">
        <f t="shared" si="82"/>
        <v>0</v>
      </c>
      <c r="Y219" s="54">
        <f t="shared" si="82"/>
        <v>0</v>
      </c>
      <c r="Z219" s="54">
        <f t="shared" si="82"/>
        <v>0</v>
      </c>
      <c r="AA219" s="54">
        <f t="shared" si="82"/>
        <v>0</v>
      </c>
      <c r="AB219" s="54">
        <f t="shared" si="82"/>
        <v>0</v>
      </c>
      <c r="AC219" s="54">
        <f t="shared" si="82"/>
        <v>0</v>
      </c>
      <c r="AD219" s="54">
        <f t="shared" si="82"/>
        <v>0</v>
      </c>
      <c r="AE219" s="54">
        <f t="shared" si="82"/>
        <v>0</v>
      </c>
      <c r="AF219" s="54">
        <f t="shared" si="82"/>
        <v>0</v>
      </c>
      <c r="AG219" s="54">
        <f t="shared" si="82"/>
        <v>0</v>
      </c>
      <c r="AH219" s="54">
        <f t="shared" si="82"/>
        <v>0</v>
      </c>
      <c r="AI219" s="54">
        <f t="shared" si="82"/>
        <v>0</v>
      </c>
      <c r="AJ219" s="54">
        <f t="shared" si="82"/>
        <v>0</v>
      </c>
      <c r="AK219" s="54">
        <f t="shared" si="82"/>
        <v>0</v>
      </c>
      <c r="AL219" s="53">
        <f t="shared" si="82"/>
        <v>0</v>
      </c>
      <c r="AM219" s="52"/>
    </row>
    <row r="220" spans="2:39" hidden="1" outlineLevel="2">
      <c r="B220" s="76"/>
      <c r="C220" s="76"/>
      <c r="D220" s="84" t="s">
        <v>14</v>
      </c>
      <c r="E220" s="83">
        <f>+E16</f>
        <v>18764728.809999999</v>
      </c>
      <c r="F220" s="82">
        <f>+F16</f>
        <v>22266908</v>
      </c>
      <c r="G220" s="82">
        <f>+G16</f>
        <v>20656887.920000002</v>
      </c>
      <c r="H220" s="81">
        <f>+H16</f>
        <v>18408779.100000001</v>
      </c>
      <c r="I220" s="80">
        <f>+I16</f>
        <v>19313944</v>
      </c>
      <c r="J220" s="79">
        <f t="shared" ref="J220:AL220" si="83">+J16</f>
        <v>18278000</v>
      </c>
      <c r="K220" s="79">
        <f t="shared" si="83"/>
        <v>17000000</v>
      </c>
      <c r="L220" s="79">
        <f t="shared" si="83"/>
        <v>16643950</v>
      </c>
      <c r="M220" s="79">
        <f t="shared" si="83"/>
        <v>16637269</v>
      </c>
      <c r="N220" s="79">
        <f t="shared" si="83"/>
        <v>17145387</v>
      </c>
      <c r="O220" s="79">
        <f t="shared" si="83"/>
        <v>17068748</v>
      </c>
      <c r="P220" s="79">
        <f t="shared" si="83"/>
        <v>17507811</v>
      </c>
      <c r="Q220" s="79">
        <f t="shared" si="83"/>
        <v>18163045</v>
      </c>
      <c r="R220" s="79">
        <f t="shared" si="83"/>
        <v>18604936</v>
      </c>
      <c r="S220" s="79">
        <f t="shared" si="83"/>
        <v>19013984</v>
      </c>
      <c r="T220" s="79">
        <f t="shared" si="83"/>
        <v>19582704</v>
      </c>
      <c r="U220" s="79">
        <f t="shared" si="83"/>
        <v>21290625</v>
      </c>
      <c r="V220" s="79">
        <f t="shared" si="83"/>
        <v>0</v>
      </c>
      <c r="W220" s="79">
        <f t="shared" si="83"/>
        <v>0</v>
      </c>
      <c r="X220" s="79">
        <f t="shared" si="83"/>
        <v>0</v>
      </c>
      <c r="Y220" s="79">
        <f t="shared" si="83"/>
        <v>0</v>
      </c>
      <c r="Z220" s="79">
        <f t="shared" si="83"/>
        <v>0</v>
      </c>
      <c r="AA220" s="79">
        <f t="shared" si="83"/>
        <v>0</v>
      </c>
      <c r="AB220" s="79">
        <f t="shared" si="83"/>
        <v>0</v>
      </c>
      <c r="AC220" s="79">
        <f t="shared" si="83"/>
        <v>0</v>
      </c>
      <c r="AD220" s="79">
        <f t="shared" si="83"/>
        <v>0</v>
      </c>
      <c r="AE220" s="79">
        <f t="shared" si="83"/>
        <v>0</v>
      </c>
      <c r="AF220" s="79">
        <f t="shared" si="83"/>
        <v>0</v>
      </c>
      <c r="AG220" s="79">
        <f t="shared" si="83"/>
        <v>0</v>
      </c>
      <c r="AH220" s="79">
        <f t="shared" si="83"/>
        <v>0</v>
      </c>
      <c r="AI220" s="79">
        <f t="shared" si="83"/>
        <v>0</v>
      </c>
      <c r="AJ220" s="79">
        <f t="shared" si="83"/>
        <v>0</v>
      </c>
      <c r="AK220" s="79">
        <f t="shared" si="83"/>
        <v>0</v>
      </c>
      <c r="AL220" s="78">
        <f t="shared" si="83"/>
        <v>0</v>
      </c>
      <c r="AM220" s="68"/>
    </row>
    <row r="221" spans="2:39" ht="15" hidden="1" outlineLevel="2">
      <c r="B221" s="60"/>
      <c r="C221" s="60"/>
      <c r="D221" s="77" t="s">
        <v>26</v>
      </c>
      <c r="E221" s="66">
        <f>+E16-E78-E81</f>
        <v>18764728.809999999</v>
      </c>
      <c r="F221" s="65">
        <f>+F16-F78-F81</f>
        <v>22266908</v>
      </c>
      <c r="G221" s="65">
        <f>+G16-G78-G81</f>
        <v>20656887.920000002</v>
      </c>
      <c r="H221" s="64">
        <f>+H16-H78-H81</f>
        <v>18408779.100000001</v>
      </c>
      <c r="I221" s="63">
        <f>+I16-I78-I81</f>
        <v>16583816</v>
      </c>
      <c r="J221" s="62">
        <f t="shared" ref="J221:AL221" si="84">+J16-J78-J81</f>
        <v>16402748</v>
      </c>
      <c r="K221" s="62">
        <f t="shared" si="84"/>
        <v>17000000</v>
      </c>
      <c r="L221" s="62">
        <f t="shared" si="84"/>
        <v>16643950</v>
      </c>
      <c r="M221" s="62">
        <f t="shared" si="84"/>
        <v>16637269</v>
      </c>
      <c r="N221" s="62">
        <f t="shared" si="84"/>
        <v>17145387</v>
      </c>
      <c r="O221" s="62">
        <f t="shared" si="84"/>
        <v>17068748</v>
      </c>
      <c r="P221" s="62">
        <f t="shared" si="84"/>
        <v>17507811</v>
      </c>
      <c r="Q221" s="62">
        <f t="shared" si="84"/>
        <v>18163045</v>
      </c>
      <c r="R221" s="62">
        <f t="shared" si="84"/>
        <v>18604936</v>
      </c>
      <c r="S221" s="62">
        <f t="shared" si="84"/>
        <v>19013984</v>
      </c>
      <c r="T221" s="62">
        <f t="shared" si="84"/>
        <v>19582704</v>
      </c>
      <c r="U221" s="62">
        <f t="shared" si="84"/>
        <v>21290625</v>
      </c>
      <c r="V221" s="62">
        <f t="shared" si="84"/>
        <v>0</v>
      </c>
      <c r="W221" s="62">
        <f t="shared" si="84"/>
        <v>0</v>
      </c>
      <c r="X221" s="62">
        <f t="shared" si="84"/>
        <v>0</v>
      </c>
      <c r="Y221" s="62">
        <f t="shared" si="84"/>
        <v>0</v>
      </c>
      <c r="Z221" s="62">
        <f t="shared" si="84"/>
        <v>0</v>
      </c>
      <c r="AA221" s="62">
        <f t="shared" si="84"/>
        <v>0</v>
      </c>
      <c r="AB221" s="62">
        <f t="shared" si="84"/>
        <v>0</v>
      </c>
      <c r="AC221" s="62">
        <f t="shared" si="84"/>
        <v>0</v>
      </c>
      <c r="AD221" s="62">
        <f t="shared" si="84"/>
        <v>0</v>
      </c>
      <c r="AE221" s="62">
        <f t="shared" si="84"/>
        <v>0</v>
      </c>
      <c r="AF221" s="62">
        <f t="shared" si="84"/>
        <v>0</v>
      </c>
      <c r="AG221" s="62">
        <f t="shared" si="84"/>
        <v>0</v>
      </c>
      <c r="AH221" s="62">
        <f t="shared" si="84"/>
        <v>0</v>
      </c>
      <c r="AI221" s="62">
        <f t="shared" si="84"/>
        <v>0</v>
      </c>
      <c r="AJ221" s="62">
        <f t="shared" si="84"/>
        <v>0</v>
      </c>
      <c r="AK221" s="62">
        <f t="shared" si="84"/>
        <v>0</v>
      </c>
      <c r="AL221" s="61">
        <f t="shared" si="84"/>
        <v>0</v>
      </c>
      <c r="AM221" s="52"/>
    </row>
    <row r="222" spans="2:39" hidden="1" outlineLevel="2">
      <c r="B222" s="76"/>
      <c r="C222" s="76"/>
      <c r="D222" s="75" t="s">
        <v>25</v>
      </c>
      <c r="E222" s="74">
        <f>+E17</f>
        <v>14183688.6</v>
      </c>
      <c r="F222" s="73">
        <f>+F17</f>
        <v>14121187.48</v>
      </c>
      <c r="G222" s="73">
        <f>+G17</f>
        <v>15825527.92</v>
      </c>
      <c r="H222" s="72">
        <f>+H17</f>
        <v>15466263.529999999</v>
      </c>
      <c r="I222" s="71">
        <f>+I17</f>
        <v>16200675</v>
      </c>
      <c r="J222" s="70">
        <f t="shared" ref="J222:AL222" si="85">+J17</f>
        <v>14572983</v>
      </c>
      <c r="K222" s="70">
        <f t="shared" si="85"/>
        <v>14573673</v>
      </c>
      <c r="L222" s="70">
        <f t="shared" si="85"/>
        <v>14946533</v>
      </c>
      <c r="M222" s="70">
        <f t="shared" si="85"/>
        <v>15333929</v>
      </c>
      <c r="N222" s="70">
        <f t="shared" si="85"/>
        <v>15741237</v>
      </c>
      <c r="O222" s="70">
        <f t="shared" si="85"/>
        <v>16161844</v>
      </c>
      <c r="P222" s="70">
        <f t="shared" si="85"/>
        <v>16560149</v>
      </c>
      <c r="Q222" s="70">
        <f t="shared" si="85"/>
        <v>16966564</v>
      </c>
      <c r="R222" s="70">
        <f t="shared" si="85"/>
        <v>17393510</v>
      </c>
      <c r="S222" s="70">
        <f t="shared" si="85"/>
        <v>17827425</v>
      </c>
      <c r="T222" s="70">
        <f t="shared" si="85"/>
        <v>18266759</v>
      </c>
      <c r="U222" s="70">
        <f t="shared" si="85"/>
        <v>18718971</v>
      </c>
      <c r="V222" s="70">
        <f t="shared" si="85"/>
        <v>0</v>
      </c>
      <c r="W222" s="70">
        <f t="shared" si="85"/>
        <v>0</v>
      </c>
      <c r="X222" s="70">
        <f t="shared" si="85"/>
        <v>0</v>
      </c>
      <c r="Y222" s="70">
        <f t="shared" si="85"/>
        <v>0</v>
      </c>
      <c r="Z222" s="70">
        <f t="shared" si="85"/>
        <v>0</v>
      </c>
      <c r="AA222" s="70">
        <f t="shared" si="85"/>
        <v>0</v>
      </c>
      <c r="AB222" s="70">
        <f t="shared" si="85"/>
        <v>0</v>
      </c>
      <c r="AC222" s="70">
        <f t="shared" si="85"/>
        <v>0</v>
      </c>
      <c r="AD222" s="70">
        <f t="shared" si="85"/>
        <v>0</v>
      </c>
      <c r="AE222" s="70">
        <f t="shared" si="85"/>
        <v>0</v>
      </c>
      <c r="AF222" s="70">
        <f t="shared" si="85"/>
        <v>0</v>
      </c>
      <c r="AG222" s="70">
        <f t="shared" si="85"/>
        <v>0</v>
      </c>
      <c r="AH222" s="70">
        <f t="shared" si="85"/>
        <v>0</v>
      </c>
      <c r="AI222" s="70">
        <f t="shared" si="85"/>
        <v>0</v>
      </c>
      <c r="AJ222" s="70">
        <f t="shared" si="85"/>
        <v>0</v>
      </c>
      <c r="AK222" s="70">
        <f t="shared" si="85"/>
        <v>0</v>
      </c>
      <c r="AL222" s="69">
        <f t="shared" si="85"/>
        <v>0</v>
      </c>
      <c r="AM222" s="68"/>
    </row>
    <row r="223" spans="2:39" ht="15" hidden="1" outlineLevel="2">
      <c r="B223" s="60"/>
      <c r="C223" s="60"/>
      <c r="D223" s="67" t="s">
        <v>24</v>
      </c>
      <c r="E223" s="66">
        <f>+E17-E78</f>
        <v>14183688.6</v>
      </c>
      <c r="F223" s="65">
        <f>+F17-F78</f>
        <v>14121187.48</v>
      </c>
      <c r="G223" s="65">
        <f>+G17-G78</f>
        <v>15825527.92</v>
      </c>
      <c r="H223" s="64">
        <f>+H17-H78</f>
        <v>15466263.529999999</v>
      </c>
      <c r="I223" s="63">
        <f>+I17-I78</f>
        <v>15937667</v>
      </c>
      <c r="J223" s="62">
        <f t="shared" ref="J223:AL223" si="86">+J17-J78</f>
        <v>14549973</v>
      </c>
      <c r="K223" s="62">
        <f t="shared" si="86"/>
        <v>14573673</v>
      </c>
      <c r="L223" s="62">
        <f t="shared" si="86"/>
        <v>14946533</v>
      </c>
      <c r="M223" s="62">
        <f t="shared" si="86"/>
        <v>15333929</v>
      </c>
      <c r="N223" s="62">
        <f t="shared" si="86"/>
        <v>15741237</v>
      </c>
      <c r="O223" s="62">
        <f t="shared" si="86"/>
        <v>16161844</v>
      </c>
      <c r="P223" s="62">
        <f t="shared" si="86"/>
        <v>16560149</v>
      </c>
      <c r="Q223" s="62">
        <f t="shared" si="86"/>
        <v>16966564</v>
      </c>
      <c r="R223" s="62">
        <f t="shared" si="86"/>
        <v>17393510</v>
      </c>
      <c r="S223" s="62">
        <f t="shared" si="86"/>
        <v>17827425</v>
      </c>
      <c r="T223" s="62">
        <f t="shared" si="86"/>
        <v>18266759</v>
      </c>
      <c r="U223" s="62">
        <f t="shared" si="86"/>
        <v>18718971</v>
      </c>
      <c r="V223" s="62">
        <f t="shared" si="86"/>
        <v>0</v>
      </c>
      <c r="W223" s="62">
        <f t="shared" si="86"/>
        <v>0</v>
      </c>
      <c r="X223" s="62">
        <f t="shared" si="86"/>
        <v>0</v>
      </c>
      <c r="Y223" s="62">
        <f t="shared" si="86"/>
        <v>0</v>
      </c>
      <c r="Z223" s="62">
        <f t="shared" si="86"/>
        <v>0</v>
      </c>
      <c r="AA223" s="62">
        <f t="shared" si="86"/>
        <v>0</v>
      </c>
      <c r="AB223" s="62">
        <f t="shared" si="86"/>
        <v>0</v>
      </c>
      <c r="AC223" s="62">
        <f t="shared" si="86"/>
        <v>0</v>
      </c>
      <c r="AD223" s="62">
        <f t="shared" si="86"/>
        <v>0</v>
      </c>
      <c r="AE223" s="62">
        <f t="shared" si="86"/>
        <v>0</v>
      </c>
      <c r="AF223" s="62">
        <f t="shared" si="86"/>
        <v>0</v>
      </c>
      <c r="AG223" s="62">
        <f t="shared" si="86"/>
        <v>0</v>
      </c>
      <c r="AH223" s="62">
        <f t="shared" si="86"/>
        <v>0</v>
      </c>
      <c r="AI223" s="62">
        <f t="shared" si="86"/>
        <v>0</v>
      </c>
      <c r="AJ223" s="62">
        <f t="shared" si="86"/>
        <v>0</v>
      </c>
      <c r="AK223" s="62">
        <f t="shared" si="86"/>
        <v>0</v>
      </c>
      <c r="AL223" s="61">
        <f t="shared" si="86"/>
        <v>0</v>
      </c>
      <c r="AM223" s="52"/>
    </row>
    <row r="224" spans="2:39" ht="15" hidden="1" outlineLevel="2">
      <c r="B224" s="60"/>
      <c r="C224" s="60"/>
      <c r="D224" s="67" t="s">
        <v>23</v>
      </c>
      <c r="E224" s="66">
        <f>+E63</f>
        <v>0</v>
      </c>
      <c r="F224" s="65">
        <f>+F63</f>
        <v>5923327</v>
      </c>
      <c r="G224" s="65">
        <f>+G63</f>
        <v>6553390.0899999999</v>
      </c>
      <c r="H224" s="64">
        <f>+H63</f>
        <v>6453390.0899999999</v>
      </c>
      <c r="I224" s="63">
        <f>+I63</f>
        <v>6715934</v>
      </c>
      <c r="J224" s="62">
        <f t="shared" ref="J224:AL224" si="87">+J63</f>
        <v>6758808</v>
      </c>
      <c r="K224" s="62">
        <f t="shared" si="87"/>
        <v>6961573</v>
      </c>
      <c r="L224" s="62">
        <f t="shared" si="87"/>
        <v>7170420</v>
      </c>
      <c r="M224" s="62">
        <f t="shared" si="87"/>
        <v>7385532</v>
      </c>
      <c r="N224" s="62">
        <f t="shared" si="87"/>
        <v>7607098</v>
      </c>
      <c r="O224" s="62">
        <f t="shared" si="87"/>
        <v>7835311</v>
      </c>
      <c r="P224" s="62">
        <f t="shared" si="87"/>
        <v>8070371</v>
      </c>
      <c r="Q224" s="62">
        <f t="shared" si="87"/>
        <v>8312482</v>
      </c>
      <c r="R224" s="62">
        <f t="shared" si="87"/>
        <v>8561856</v>
      </c>
      <c r="S224" s="62">
        <f t="shared" si="87"/>
        <v>8818712</v>
      </c>
      <c r="T224" s="62">
        <f t="shared" si="87"/>
        <v>9083273</v>
      </c>
      <c r="U224" s="62">
        <f t="shared" si="87"/>
        <v>9355771</v>
      </c>
      <c r="V224" s="62">
        <f t="shared" si="87"/>
        <v>0</v>
      </c>
      <c r="W224" s="62">
        <f t="shared" si="87"/>
        <v>0</v>
      </c>
      <c r="X224" s="62">
        <f t="shared" si="87"/>
        <v>0</v>
      </c>
      <c r="Y224" s="62">
        <f t="shared" si="87"/>
        <v>0</v>
      </c>
      <c r="Z224" s="62">
        <f t="shared" si="87"/>
        <v>0</v>
      </c>
      <c r="AA224" s="62">
        <f t="shared" si="87"/>
        <v>0</v>
      </c>
      <c r="AB224" s="62">
        <f t="shared" si="87"/>
        <v>0</v>
      </c>
      <c r="AC224" s="62">
        <f t="shared" si="87"/>
        <v>0</v>
      </c>
      <c r="AD224" s="62">
        <f t="shared" si="87"/>
        <v>0</v>
      </c>
      <c r="AE224" s="62">
        <f t="shared" si="87"/>
        <v>0</v>
      </c>
      <c r="AF224" s="62">
        <f t="shared" si="87"/>
        <v>0</v>
      </c>
      <c r="AG224" s="62">
        <f t="shared" si="87"/>
        <v>0</v>
      </c>
      <c r="AH224" s="62">
        <f t="shared" si="87"/>
        <v>0</v>
      </c>
      <c r="AI224" s="62">
        <f t="shared" si="87"/>
        <v>0</v>
      </c>
      <c r="AJ224" s="62">
        <f t="shared" si="87"/>
        <v>0</v>
      </c>
      <c r="AK224" s="62">
        <f t="shared" si="87"/>
        <v>0</v>
      </c>
      <c r="AL224" s="61">
        <f t="shared" si="87"/>
        <v>0</v>
      </c>
      <c r="AM224" s="52"/>
    </row>
    <row r="225" spans="2:39" ht="24" hidden="1" outlineLevel="2">
      <c r="B225" s="60"/>
      <c r="C225" s="60"/>
      <c r="D225" s="59" t="s">
        <v>22</v>
      </c>
      <c r="E225" s="58">
        <f>+E17-E18-E21-E63-E64</f>
        <v>11789190.959999999</v>
      </c>
      <c r="F225" s="57">
        <f>+F17-F18-F21-F63-F64</f>
        <v>5376966.6300000008</v>
      </c>
      <c r="G225" s="57">
        <f>+G17-G18-G21-G63-G64</f>
        <v>8593017.8300000001</v>
      </c>
      <c r="H225" s="56">
        <f>+H17-H18-H21-H63-H64</f>
        <v>5730557.709999999</v>
      </c>
      <c r="I225" s="55">
        <f>+I17-I18-I21-I63-I64</f>
        <v>4616458</v>
      </c>
      <c r="J225" s="54">
        <f t="shared" ref="J225:AL225" si="88">+J17-J18-J21-J63-J64</f>
        <v>4064175</v>
      </c>
      <c r="K225" s="54">
        <f t="shared" si="88"/>
        <v>3717100</v>
      </c>
      <c r="L225" s="54">
        <f t="shared" si="88"/>
        <v>3876113</v>
      </c>
      <c r="M225" s="54">
        <f t="shared" si="88"/>
        <v>3991397</v>
      </c>
      <c r="N225" s="54">
        <f t="shared" si="88"/>
        <v>4113139</v>
      </c>
      <c r="O225" s="54">
        <f t="shared" si="88"/>
        <v>4241533</v>
      </c>
      <c r="P225" s="54">
        <f t="shared" si="88"/>
        <v>4376778</v>
      </c>
      <c r="Q225" s="54">
        <f t="shared" si="88"/>
        <v>4519082</v>
      </c>
      <c r="R225" s="54">
        <f t="shared" si="88"/>
        <v>4668654</v>
      </c>
      <c r="S225" s="54">
        <f t="shared" si="88"/>
        <v>4825713</v>
      </c>
      <c r="T225" s="54">
        <f t="shared" si="88"/>
        <v>4990486</v>
      </c>
      <c r="U225" s="54">
        <f t="shared" si="88"/>
        <v>5163200</v>
      </c>
      <c r="V225" s="54">
        <f t="shared" si="88"/>
        <v>0</v>
      </c>
      <c r="W225" s="54">
        <f t="shared" si="88"/>
        <v>0</v>
      </c>
      <c r="X225" s="54">
        <f t="shared" si="88"/>
        <v>0</v>
      </c>
      <c r="Y225" s="54">
        <f t="shared" si="88"/>
        <v>0</v>
      </c>
      <c r="Z225" s="54">
        <f t="shared" si="88"/>
        <v>0</v>
      </c>
      <c r="AA225" s="54">
        <f t="shared" si="88"/>
        <v>0</v>
      </c>
      <c r="AB225" s="54">
        <f t="shared" si="88"/>
        <v>0</v>
      </c>
      <c r="AC225" s="54">
        <f t="shared" si="88"/>
        <v>0</v>
      </c>
      <c r="AD225" s="54">
        <f t="shared" si="88"/>
        <v>0</v>
      </c>
      <c r="AE225" s="54">
        <f t="shared" si="88"/>
        <v>0</v>
      </c>
      <c r="AF225" s="54">
        <f t="shared" si="88"/>
        <v>0</v>
      </c>
      <c r="AG225" s="54">
        <f t="shared" si="88"/>
        <v>0</v>
      </c>
      <c r="AH225" s="54">
        <f t="shared" si="88"/>
        <v>0</v>
      </c>
      <c r="AI225" s="54">
        <f t="shared" si="88"/>
        <v>0</v>
      </c>
      <c r="AJ225" s="54">
        <f t="shared" si="88"/>
        <v>0</v>
      </c>
      <c r="AK225" s="54">
        <f t="shared" si="88"/>
        <v>0</v>
      </c>
      <c r="AL225" s="53">
        <f t="shared" si="88"/>
        <v>0</v>
      </c>
      <c r="AM225" s="52"/>
    </row>
    <row r="226" spans="2:39" hidden="1" outlineLevel="2">
      <c r="D226" s="51"/>
      <c r="E226" s="50"/>
      <c r="F226" s="50"/>
      <c r="G226" s="50"/>
      <c r="H226" s="50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</row>
    <row r="227" spans="2:39" hidden="1" outlineLevel="1">
      <c r="D227" s="48" t="s">
        <v>21</v>
      </c>
      <c r="E227" s="47"/>
      <c r="F227" s="47"/>
      <c r="G227" s="46" t="s">
        <v>20</v>
      </c>
      <c r="H227" s="46" t="s">
        <v>19</v>
      </c>
    </row>
    <row r="228" spans="2:39" ht="15" hidden="1" outlineLevel="2">
      <c r="B228" s="38"/>
      <c r="C228" s="38"/>
      <c r="D228" s="37" t="s">
        <v>18</v>
      </c>
      <c r="E228" s="36" t="s">
        <v>0</v>
      </c>
      <c r="F228" s="35">
        <f t="shared" ref="F228:AL229" si="89">+IF(E5&lt;&gt;0,F5/E5,"-")</f>
        <v>0.96975716117137323</v>
      </c>
      <c r="G228" s="35">
        <f t="shared" si="89"/>
        <v>1.1610377835834325</v>
      </c>
      <c r="H228" s="34">
        <f>+IF(F5&lt;&gt;0,H5/F5,"-")</f>
        <v>1.1666940449404397</v>
      </c>
      <c r="I228" s="33">
        <f t="shared" si="89"/>
        <v>1.0211410424369367</v>
      </c>
      <c r="J228" s="32">
        <f t="shared" si="89"/>
        <v>0.99344279085791387</v>
      </c>
      <c r="K228" s="32">
        <f t="shared" si="89"/>
        <v>0.91064011076791995</v>
      </c>
      <c r="L228" s="32">
        <f t="shared" si="89"/>
        <v>0.99672222222222218</v>
      </c>
      <c r="M228" s="32">
        <f t="shared" si="89"/>
        <v>1.0113423824876275</v>
      </c>
      <c r="N228" s="32">
        <f t="shared" si="89"/>
        <v>1.0294778714656017</v>
      </c>
      <c r="O228" s="32">
        <f t="shared" si="89"/>
        <v>1.0294927915632384</v>
      </c>
      <c r="P228" s="32">
        <f t="shared" si="89"/>
        <v>1.0295073860562312</v>
      </c>
      <c r="Q228" s="32">
        <f t="shared" si="89"/>
        <v>1.0295214578666279</v>
      </c>
      <c r="R228" s="32">
        <f t="shared" si="89"/>
        <v>1.0295351789968985</v>
      </c>
      <c r="S228" s="32">
        <f t="shared" si="89"/>
        <v>1.0295485272689113</v>
      </c>
      <c r="T228" s="32">
        <f t="shared" si="89"/>
        <v>1.029561512033921</v>
      </c>
      <c r="U228" s="32">
        <f t="shared" si="89"/>
        <v>1.0295740738216768</v>
      </c>
      <c r="V228" s="32">
        <f t="shared" si="89"/>
        <v>0</v>
      </c>
      <c r="W228" s="32" t="str">
        <f t="shared" si="89"/>
        <v>-</v>
      </c>
      <c r="X228" s="32" t="str">
        <f t="shared" si="89"/>
        <v>-</v>
      </c>
      <c r="Y228" s="32" t="str">
        <f t="shared" si="89"/>
        <v>-</v>
      </c>
      <c r="Z228" s="32" t="str">
        <f t="shared" si="89"/>
        <v>-</v>
      </c>
      <c r="AA228" s="32" t="str">
        <f t="shared" si="89"/>
        <v>-</v>
      </c>
      <c r="AB228" s="32" t="str">
        <f t="shared" si="89"/>
        <v>-</v>
      </c>
      <c r="AC228" s="32" t="str">
        <f t="shared" si="89"/>
        <v>-</v>
      </c>
      <c r="AD228" s="32" t="str">
        <f t="shared" si="89"/>
        <v>-</v>
      </c>
      <c r="AE228" s="32" t="str">
        <f t="shared" si="89"/>
        <v>-</v>
      </c>
      <c r="AF228" s="32" t="str">
        <f t="shared" si="89"/>
        <v>-</v>
      </c>
      <c r="AG228" s="32" t="str">
        <f t="shared" si="89"/>
        <v>-</v>
      </c>
      <c r="AH228" s="32" t="str">
        <f t="shared" si="89"/>
        <v>-</v>
      </c>
      <c r="AI228" s="32" t="str">
        <f t="shared" si="89"/>
        <v>-</v>
      </c>
      <c r="AJ228" s="32" t="str">
        <f t="shared" si="89"/>
        <v>-</v>
      </c>
      <c r="AK228" s="32" t="str">
        <f t="shared" si="89"/>
        <v>-</v>
      </c>
      <c r="AL228" s="31" t="str">
        <f t="shared" si="89"/>
        <v>-</v>
      </c>
      <c r="AM228" s="30"/>
    </row>
    <row r="229" spans="2:39" hidden="1" outlineLevel="2">
      <c r="D229" s="15" t="s">
        <v>17</v>
      </c>
      <c r="E229" s="14" t="s">
        <v>0</v>
      </c>
      <c r="F229" s="13">
        <f t="shared" si="89"/>
        <v>1.0603971179625986</v>
      </c>
      <c r="G229" s="13">
        <f t="shared" si="89"/>
        <v>1.1131649814126643</v>
      </c>
      <c r="H229" s="12">
        <f>+IF(F6&lt;&gt;0,H6/F6,"-")</f>
        <v>1.1306244913825769</v>
      </c>
      <c r="I229" s="11">
        <f t="shared" si="89"/>
        <v>0.98525033943446771</v>
      </c>
      <c r="J229" s="10">
        <f t="shared" si="89"/>
        <v>1.0162637773609966</v>
      </c>
      <c r="K229" s="10">
        <f t="shared" si="89"/>
        <v>1.05</v>
      </c>
      <c r="L229" s="10">
        <f t="shared" si="89"/>
        <v>0.99666369047619052</v>
      </c>
      <c r="M229" s="10">
        <f t="shared" si="89"/>
        <v>1.0115456030387096</v>
      </c>
      <c r="N229" s="10">
        <f t="shared" si="89"/>
        <v>1.0299999958671022</v>
      </c>
      <c r="O229" s="10">
        <f t="shared" si="89"/>
        <v>1.0299999650337364</v>
      </c>
      <c r="P229" s="10">
        <f t="shared" si="89"/>
        <v>1.0300000311652209</v>
      </c>
      <c r="Q229" s="10">
        <f t="shared" si="89"/>
        <v>1.0299999821696904</v>
      </c>
      <c r="R229" s="10">
        <f t="shared" si="89"/>
        <v>1.0299999816398693</v>
      </c>
      <c r="S229" s="10">
        <f t="shared" si="89"/>
        <v>1.0299999959256296</v>
      </c>
      <c r="T229" s="10">
        <f t="shared" si="89"/>
        <v>1.030000023734196</v>
      </c>
      <c r="U229" s="10">
        <f t="shared" si="89"/>
        <v>1.029999994239273</v>
      </c>
      <c r="V229" s="10">
        <f t="shared" si="89"/>
        <v>0</v>
      </c>
      <c r="W229" s="10" t="str">
        <f t="shared" si="89"/>
        <v>-</v>
      </c>
      <c r="X229" s="10" t="str">
        <f t="shared" si="89"/>
        <v>-</v>
      </c>
      <c r="Y229" s="10" t="str">
        <f t="shared" si="89"/>
        <v>-</v>
      </c>
      <c r="Z229" s="10" t="str">
        <f t="shared" si="89"/>
        <v>-</v>
      </c>
      <c r="AA229" s="10" t="str">
        <f t="shared" si="89"/>
        <v>-</v>
      </c>
      <c r="AB229" s="10" t="str">
        <f t="shared" si="89"/>
        <v>-</v>
      </c>
      <c r="AC229" s="10" t="str">
        <f t="shared" si="89"/>
        <v>-</v>
      </c>
      <c r="AD229" s="10" t="str">
        <f t="shared" si="89"/>
        <v>-</v>
      </c>
      <c r="AE229" s="10" t="str">
        <f t="shared" si="89"/>
        <v>-</v>
      </c>
      <c r="AF229" s="10" t="str">
        <f t="shared" si="89"/>
        <v>-</v>
      </c>
      <c r="AG229" s="10" t="str">
        <f t="shared" si="89"/>
        <v>-</v>
      </c>
      <c r="AH229" s="10" t="str">
        <f t="shared" si="89"/>
        <v>-</v>
      </c>
      <c r="AI229" s="10" t="str">
        <f t="shared" si="89"/>
        <v>-</v>
      </c>
      <c r="AJ229" s="10" t="str">
        <f t="shared" si="89"/>
        <v>-</v>
      </c>
      <c r="AK229" s="10" t="str">
        <f t="shared" si="89"/>
        <v>-</v>
      </c>
      <c r="AL229" s="9" t="str">
        <f t="shared" si="89"/>
        <v>-</v>
      </c>
    </row>
    <row r="230" spans="2:39" ht="24" hidden="1" outlineLevel="2">
      <c r="D230" s="29" t="s">
        <v>6</v>
      </c>
      <c r="E230" s="45" t="s">
        <v>0</v>
      </c>
      <c r="F230" s="44" t="str">
        <f>+IF((E72)&lt;&gt;0,(F72)/(E72),"-")</f>
        <v>-</v>
      </c>
      <c r="G230" s="44" t="str">
        <f>+IF((F72)&lt;&gt;0,(G72)/(F72),"-")</f>
        <v>-</v>
      </c>
      <c r="H230" s="43" t="str">
        <f>+IF((F72)&lt;&gt;0,(H72)/(F72),"-")</f>
        <v>-</v>
      </c>
      <c r="I230" s="11" t="str">
        <f>+IF((H72)&lt;&gt;0,(I72)/(H72),"-")</f>
        <v>-</v>
      </c>
      <c r="J230" s="10">
        <f t="shared" ref="J230:AL230" si="90">+IF((I72)&lt;&gt;0,(J72)/(I72),"-")</f>
        <v>0</v>
      </c>
      <c r="K230" s="10" t="str">
        <f t="shared" si="90"/>
        <v>-</v>
      </c>
      <c r="L230" s="10" t="str">
        <f t="shared" si="90"/>
        <v>-</v>
      </c>
      <c r="M230" s="10" t="str">
        <f t="shared" si="90"/>
        <v>-</v>
      </c>
      <c r="N230" s="10" t="str">
        <f t="shared" si="90"/>
        <v>-</v>
      </c>
      <c r="O230" s="10" t="str">
        <f t="shared" si="90"/>
        <v>-</v>
      </c>
      <c r="P230" s="10" t="str">
        <f t="shared" si="90"/>
        <v>-</v>
      </c>
      <c r="Q230" s="10" t="str">
        <f t="shared" si="90"/>
        <v>-</v>
      </c>
      <c r="R230" s="10" t="str">
        <f t="shared" si="90"/>
        <v>-</v>
      </c>
      <c r="S230" s="10" t="str">
        <f t="shared" si="90"/>
        <v>-</v>
      </c>
      <c r="T230" s="10" t="str">
        <f t="shared" si="90"/>
        <v>-</v>
      </c>
      <c r="U230" s="10" t="str">
        <f t="shared" si="90"/>
        <v>-</v>
      </c>
      <c r="V230" s="10" t="str">
        <f t="shared" si="90"/>
        <v>-</v>
      </c>
      <c r="W230" s="10" t="str">
        <f t="shared" si="90"/>
        <v>-</v>
      </c>
      <c r="X230" s="10" t="str">
        <f t="shared" si="90"/>
        <v>-</v>
      </c>
      <c r="Y230" s="10" t="str">
        <f t="shared" si="90"/>
        <v>-</v>
      </c>
      <c r="Z230" s="10" t="str">
        <f t="shared" si="90"/>
        <v>-</v>
      </c>
      <c r="AA230" s="10" t="str">
        <f t="shared" si="90"/>
        <v>-</v>
      </c>
      <c r="AB230" s="10" t="str">
        <f t="shared" si="90"/>
        <v>-</v>
      </c>
      <c r="AC230" s="10" t="str">
        <f t="shared" si="90"/>
        <v>-</v>
      </c>
      <c r="AD230" s="10" t="str">
        <f t="shared" si="90"/>
        <v>-</v>
      </c>
      <c r="AE230" s="10" t="str">
        <f t="shared" si="90"/>
        <v>-</v>
      </c>
      <c r="AF230" s="10" t="str">
        <f t="shared" si="90"/>
        <v>-</v>
      </c>
      <c r="AG230" s="10" t="str">
        <f t="shared" si="90"/>
        <v>-</v>
      </c>
      <c r="AH230" s="10" t="str">
        <f t="shared" si="90"/>
        <v>-</v>
      </c>
      <c r="AI230" s="10" t="str">
        <f t="shared" si="90"/>
        <v>-</v>
      </c>
      <c r="AJ230" s="10" t="str">
        <f t="shared" si="90"/>
        <v>-</v>
      </c>
      <c r="AK230" s="10" t="str">
        <f t="shared" si="90"/>
        <v>-</v>
      </c>
      <c r="AL230" s="9" t="str">
        <f t="shared" si="90"/>
        <v>-</v>
      </c>
    </row>
    <row r="231" spans="2:39" hidden="1" outlineLevel="2">
      <c r="D231" s="15" t="s">
        <v>16</v>
      </c>
      <c r="E231" s="14" t="s">
        <v>0</v>
      </c>
      <c r="F231" s="13">
        <f t="shared" ref="F231:AL232" si="91">+IF(E13&lt;&gt;0,F13/E13,"-")</f>
        <v>0.57133604256180504</v>
      </c>
      <c r="G231" s="13">
        <f t="shared" si="91"/>
        <v>1.551598380792647</v>
      </c>
      <c r="H231" s="12">
        <f>+IF(F13&lt;&gt;0,H13/F13,"-")</f>
        <v>1.4609602198841471</v>
      </c>
      <c r="I231" s="11">
        <f t="shared" si="91"/>
        <v>1.2477418953513892</v>
      </c>
      <c r="J231" s="10">
        <f t="shared" si="91"/>
        <v>0.87967067764407858</v>
      </c>
      <c r="K231" s="10">
        <f t="shared" si="91"/>
        <v>0.10799136069114471</v>
      </c>
      <c r="L231" s="10">
        <f t="shared" si="91"/>
        <v>1</v>
      </c>
      <c r="M231" s="10">
        <f t="shared" si="91"/>
        <v>1</v>
      </c>
      <c r="N231" s="10">
        <f t="shared" si="91"/>
        <v>1</v>
      </c>
      <c r="O231" s="10">
        <f t="shared" si="91"/>
        <v>1</v>
      </c>
      <c r="P231" s="10">
        <f t="shared" si="91"/>
        <v>1</v>
      </c>
      <c r="Q231" s="10">
        <f t="shared" si="91"/>
        <v>1</v>
      </c>
      <c r="R231" s="10">
        <f t="shared" si="91"/>
        <v>1</v>
      </c>
      <c r="S231" s="10">
        <f t="shared" si="91"/>
        <v>1</v>
      </c>
      <c r="T231" s="10">
        <f t="shared" si="91"/>
        <v>1</v>
      </c>
      <c r="U231" s="10">
        <f t="shared" si="91"/>
        <v>1</v>
      </c>
      <c r="V231" s="10">
        <f t="shared" si="91"/>
        <v>0</v>
      </c>
      <c r="W231" s="10" t="str">
        <f t="shared" si="91"/>
        <v>-</v>
      </c>
      <c r="X231" s="10" t="str">
        <f t="shared" si="91"/>
        <v>-</v>
      </c>
      <c r="Y231" s="10" t="str">
        <f t="shared" si="91"/>
        <v>-</v>
      </c>
      <c r="Z231" s="10" t="str">
        <f t="shared" si="91"/>
        <v>-</v>
      </c>
      <c r="AA231" s="10" t="str">
        <f t="shared" si="91"/>
        <v>-</v>
      </c>
      <c r="AB231" s="10" t="str">
        <f t="shared" si="91"/>
        <v>-</v>
      </c>
      <c r="AC231" s="10" t="str">
        <f t="shared" si="91"/>
        <v>-</v>
      </c>
      <c r="AD231" s="10" t="str">
        <f t="shared" si="91"/>
        <v>-</v>
      </c>
      <c r="AE231" s="10" t="str">
        <f t="shared" si="91"/>
        <v>-</v>
      </c>
      <c r="AF231" s="10" t="str">
        <f t="shared" si="91"/>
        <v>-</v>
      </c>
      <c r="AG231" s="10" t="str">
        <f t="shared" si="91"/>
        <v>-</v>
      </c>
      <c r="AH231" s="10" t="str">
        <f t="shared" si="91"/>
        <v>-</v>
      </c>
      <c r="AI231" s="10" t="str">
        <f t="shared" si="91"/>
        <v>-</v>
      </c>
      <c r="AJ231" s="10" t="str">
        <f t="shared" si="91"/>
        <v>-</v>
      </c>
      <c r="AK231" s="10" t="str">
        <f t="shared" si="91"/>
        <v>-</v>
      </c>
      <c r="AL231" s="9" t="str">
        <f t="shared" si="91"/>
        <v>-</v>
      </c>
    </row>
    <row r="232" spans="2:39" hidden="1" outlineLevel="2">
      <c r="D232" s="42" t="s">
        <v>15</v>
      </c>
      <c r="E232" s="14" t="s">
        <v>0</v>
      </c>
      <c r="F232" s="13">
        <f t="shared" si="91"/>
        <v>1.3459533609452925</v>
      </c>
      <c r="G232" s="13">
        <f t="shared" si="91"/>
        <v>2.0785001542886654</v>
      </c>
      <c r="H232" s="12">
        <f>+IF(F14&lt;&gt;0,H14/F14,"-")</f>
        <v>1.5646771689548822</v>
      </c>
      <c r="I232" s="11">
        <f t="shared" si="91"/>
        <v>8.2768861618535894</v>
      </c>
      <c r="J232" s="10">
        <f t="shared" si="91"/>
        <v>0.18518518518518517</v>
      </c>
      <c r="K232" s="10">
        <f t="shared" si="91"/>
        <v>1</v>
      </c>
      <c r="L232" s="10">
        <f t="shared" si="91"/>
        <v>1</v>
      </c>
      <c r="M232" s="10">
        <f t="shared" si="91"/>
        <v>1</v>
      </c>
      <c r="N232" s="10">
        <f t="shared" si="91"/>
        <v>1</v>
      </c>
      <c r="O232" s="10">
        <f t="shared" si="91"/>
        <v>1</v>
      </c>
      <c r="P232" s="10">
        <f t="shared" si="91"/>
        <v>1</v>
      </c>
      <c r="Q232" s="10">
        <f t="shared" si="91"/>
        <v>1</v>
      </c>
      <c r="R232" s="10">
        <f t="shared" si="91"/>
        <v>1</v>
      </c>
      <c r="S232" s="10">
        <f t="shared" si="91"/>
        <v>1</v>
      </c>
      <c r="T232" s="10">
        <f t="shared" si="91"/>
        <v>1</v>
      </c>
      <c r="U232" s="10">
        <f t="shared" si="91"/>
        <v>1</v>
      </c>
      <c r="V232" s="10">
        <f t="shared" si="91"/>
        <v>0</v>
      </c>
      <c r="W232" s="10" t="str">
        <f t="shared" si="91"/>
        <v>-</v>
      </c>
      <c r="X232" s="10" t="str">
        <f t="shared" si="91"/>
        <v>-</v>
      </c>
      <c r="Y232" s="10" t="str">
        <f t="shared" si="91"/>
        <v>-</v>
      </c>
      <c r="Z232" s="10" t="str">
        <f t="shared" si="91"/>
        <v>-</v>
      </c>
      <c r="AA232" s="10" t="str">
        <f t="shared" si="91"/>
        <v>-</v>
      </c>
      <c r="AB232" s="10" t="str">
        <f t="shared" si="91"/>
        <v>-</v>
      </c>
      <c r="AC232" s="10" t="str">
        <f t="shared" si="91"/>
        <v>-</v>
      </c>
      <c r="AD232" s="10" t="str">
        <f t="shared" si="91"/>
        <v>-</v>
      </c>
      <c r="AE232" s="10" t="str">
        <f t="shared" si="91"/>
        <v>-</v>
      </c>
      <c r="AF232" s="10" t="str">
        <f t="shared" si="91"/>
        <v>-</v>
      </c>
      <c r="AG232" s="10" t="str">
        <f t="shared" si="91"/>
        <v>-</v>
      </c>
      <c r="AH232" s="10" t="str">
        <f t="shared" si="91"/>
        <v>-</v>
      </c>
      <c r="AI232" s="10" t="str">
        <f t="shared" si="91"/>
        <v>-</v>
      </c>
      <c r="AJ232" s="10" t="str">
        <f t="shared" si="91"/>
        <v>-</v>
      </c>
      <c r="AK232" s="10" t="str">
        <f t="shared" si="91"/>
        <v>-</v>
      </c>
      <c r="AL232" s="9" t="str">
        <f t="shared" si="91"/>
        <v>-</v>
      </c>
    </row>
    <row r="233" spans="2:39" ht="24" hidden="1" outlineLevel="2">
      <c r="D233" s="27" t="s">
        <v>6</v>
      </c>
      <c r="E233" s="41" t="s">
        <v>0</v>
      </c>
      <c r="F233" s="40" t="str">
        <f>+IF((E75)&lt;&gt;0,(F75)/(E75),"-")</f>
        <v>-</v>
      </c>
      <c r="G233" s="40" t="str">
        <f>+IF((F75)&lt;&gt;0,(G75)/(F75),"-")</f>
        <v>-</v>
      </c>
      <c r="H233" s="39" t="str">
        <f>+IF((F75)&lt;&gt;0,(H75)/(F75),"-")</f>
        <v>-</v>
      </c>
      <c r="I233" s="4" t="str">
        <f>+IF((H75)&lt;&gt;0,(I75)/(H75),"-")</f>
        <v>-</v>
      </c>
      <c r="J233" s="3">
        <f t="shared" ref="J233:AL233" si="92">+IF((I75)&lt;&gt;0,(J75)/(I75),"-")</f>
        <v>1.6955934149350653</v>
      </c>
      <c r="K233" s="3">
        <f t="shared" si="92"/>
        <v>0</v>
      </c>
      <c r="L233" s="3" t="str">
        <f t="shared" si="92"/>
        <v>-</v>
      </c>
      <c r="M233" s="3" t="str">
        <f t="shared" si="92"/>
        <v>-</v>
      </c>
      <c r="N233" s="3" t="str">
        <f t="shared" si="92"/>
        <v>-</v>
      </c>
      <c r="O233" s="3" t="str">
        <f t="shared" si="92"/>
        <v>-</v>
      </c>
      <c r="P233" s="3" t="str">
        <f t="shared" si="92"/>
        <v>-</v>
      </c>
      <c r="Q233" s="3" t="str">
        <f t="shared" si="92"/>
        <v>-</v>
      </c>
      <c r="R233" s="3" t="str">
        <f t="shared" si="92"/>
        <v>-</v>
      </c>
      <c r="S233" s="3" t="str">
        <f t="shared" si="92"/>
        <v>-</v>
      </c>
      <c r="T233" s="3" t="str">
        <f t="shared" si="92"/>
        <v>-</v>
      </c>
      <c r="U233" s="3" t="str">
        <f t="shared" si="92"/>
        <v>-</v>
      </c>
      <c r="V233" s="3" t="str">
        <f t="shared" si="92"/>
        <v>-</v>
      </c>
      <c r="W233" s="3" t="str">
        <f t="shared" si="92"/>
        <v>-</v>
      </c>
      <c r="X233" s="3" t="str">
        <f t="shared" si="92"/>
        <v>-</v>
      </c>
      <c r="Y233" s="3" t="str">
        <f t="shared" si="92"/>
        <v>-</v>
      </c>
      <c r="Z233" s="3" t="str">
        <f t="shared" si="92"/>
        <v>-</v>
      </c>
      <c r="AA233" s="3" t="str">
        <f t="shared" si="92"/>
        <v>-</v>
      </c>
      <c r="AB233" s="3" t="str">
        <f t="shared" si="92"/>
        <v>-</v>
      </c>
      <c r="AC233" s="3" t="str">
        <f t="shared" si="92"/>
        <v>-</v>
      </c>
      <c r="AD233" s="3" t="str">
        <f t="shared" si="92"/>
        <v>-</v>
      </c>
      <c r="AE233" s="3" t="str">
        <f t="shared" si="92"/>
        <v>-</v>
      </c>
      <c r="AF233" s="3" t="str">
        <f t="shared" si="92"/>
        <v>-</v>
      </c>
      <c r="AG233" s="3" t="str">
        <f t="shared" si="92"/>
        <v>-</v>
      </c>
      <c r="AH233" s="3" t="str">
        <f t="shared" si="92"/>
        <v>-</v>
      </c>
      <c r="AI233" s="3" t="str">
        <f t="shared" si="92"/>
        <v>-</v>
      </c>
      <c r="AJ233" s="3" t="str">
        <f t="shared" si="92"/>
        <v>-</v>
      </c>
      <c r="AK233" s="3" t="str">
        <f t="shared" si="92"/>
        <v>-</v>
      </c>
      <c r="AL233" s="2" t="str">
        <f t="shared" si="92"/>
        <v>-</v>
      </c>
    </row>
    <row r="234" spans="2:39" ht="15" hidden="1" outlineLevel="2">
      <c r="B234" s="38"/>
      <c r="C234" s="38"/>
      <c r="D234" s="37" t="s">
        <v>14</v>
      </c>
      <c r="E234" s="36" t="s">
        <v>0</v>
      </c>
      <c r="F234" s="35">
        <f t="shared" ref="F234:AL235" si="93">+IF(E16&lt;&gt;0,F16/E16,"-")</f>
        <v>1.1866362805165422</v>
      </c>
      <c r="G234" s="35">
        <f t="shared" si="93"/>
        <v>0.92769449265250481</v>
      </c>
      <c r="H234" s="34">
        <f>+IF(F16&lt;&gt;0,H16/F16,"-")</f>
        <v>0.82673261595188707</v>
      </c>
      <c r="I234" s="33">
        <f t="shared" si="93"/>
        <v>1.0491702841933714</v>
      </c>
      <c r="J234" s="32">
        <f t="shared" si="93"/>
        <v>0.94636289718971955</v>
      </c>
      <c r="K234" s="32">
        <f t="shared" si="93"/>
        <v>0.93007987744829845</v>
      </c>
      <c r="L234" s="32">
        <f t="shared" si="93"/>
        <v>0.97905588235294116</v>
      </c>
      <c r="M234" s="32">
        <f t="shared" si="93"/>
        <v>0.99959859288209829</v>
      </c>
      <c r="N234" s="32">
        <f t="shared" si="93"/>
        <v>1.0305409499599965</v>
      </c>
      <c r="O234" s="32">
        <f t="shared" si="93"/>
        <v>0.99553005131934325</v>
      </c>
      <c r="P234" s="32">
        <f t="shared" si="93"/>
        <v>1.0257232106303287</v>
      </c>
      <c r="Q234" s="32">
        <f t="shared" si="93"/>
        <v>1.0374252383693199</v>
      </c>
      <c r="R234" s="32">
        <f t="shared" si="93"/>
        <v>1.0243291254302349</v>
      </c>
      <c r="S234" s="32">
        <f t="shared" si="93"/>
        <v>1.0219859933944411</v>
      </c>
      <c r="T234" s="32">
        <f t="shared" si="93"/>
        <v>1.0299106173645671</v>
      </c>
      <c r="U234" s="32">
        <f t="shared" si="93"/>
        <v>1.0872157900155157</v>
      </c>
      <c r="V234" s="32">
        <f t="shared" si="93"/>
        <v>0</v>
      </c>
      <c r="W234" s="32" t="str">
        <f t="shared" si="93"/>
        <v>-</v>
      </c>
      <c r="X234" s="32" t="str">
        <f t="shared" si="93"/>
        <v>-</v>
      </c>
      <c r="Y234" s="32" t="str">
        <f t="shared" si="93"/>
        <v>-</v>
      </c>
      <c r="Z234" s="32" t="str">
        <f t="shared" si="93"/>
        <v>-</v>
      </c>
      <c r="AA234" s="32" t="str">
        <f t="shared" si="93"/>
        <v>-</v>
      </c>
      <c r="AB234" s="32" t="str">
        <f t="shared" si="93"/>
        <v>-</v>
      </c>
      <c r="AC234" s="32" t="str">
        <f t="shared" si="93"/>
        <v>-</v>
      </c>
      <c r="AD234" s="32" t="str">
        <f t="shared" si="93"/>
        <v>-</v>
      </c>
      <c r="AE234" s="32" t="str">
        <f t="shared" si="93"/>
        <v>-</v>
      </c>
      <c r="AF234" s="32" t="str">
        <f t="shared" si="93"/>
        <v>-</v>
      </c>
      <c r="AG234" s="32" t="str">
        <f t="shared" si="93"/>
        <v>-</v>
      </c>
      <c r="AH234" s="32" t="str">
        <f t="shared" si="93"/>
        <v>-</v>
      </c>
      <c r="AI234" s="32" t="str">
        <f t="shared" si="93"/>
        <v>-</v>
      </c>
      <c r="AJ234" s="32" t="str">
        <f t="shared" si="93"/>
        <v>-</v>
      </c>
      <c r="AK234" s="32" t="str">
        <f t="shared" si="93"/>
        <v>-</v>
      </c>
      <c r="AL234" s="31" t="str">
        <f t="shared" si="93"/>
        <v>-</v>
      </c>
      <c r="AM234" s="30"/>
    </row>
    <row r="235" spans="2:39" hidden="1" outlineLevel="2">
      <c r="D235" s="15" t="s">
        <v>13</v>
      </c>
      <c r="E235" s="14" t="s">
        <v>0</v>
      </c>
      <c r="F235" s="13">
        <f t="shared" si="93"/>
        <v>0.99559345091656914</v>
      </c>
      <c r="G235" s="13">
        <f t="shared" si="93"/>
        <v>1.1206938469171857</v>
      </c>
      <c r="H235" s="12">
        <f>+IF(F17&lt;&gt;0,H17/F17,"-")</f>
        <v>1.0952523328441779</v>
      </c>
      <c r="I235" s="11">
        <f t="shared" si="93"/>
        <v>1.0474847378990704</v>
      </c>
      <c r="J235" s="10">
        <f t="shared" si="93"/>
        <v>0.89952937146137435</v>
      </c>
      <c r="K235" s="10">
        <f t="shared" si="93"/>
        <v>1.0000473478902707</v>
      </c>
      <c r="L235" s="10">
        <f t="shared" si="93"/>
        <v>1.0255844906085103</v>
      </c>
      <c r="M235" s="10">
        <f t="shared" si="93"/>
        <v>1.0259187866510582</v>
      </c>
      <c r="N235" s="10">
        <f t="shared" si="93"/>
        <v>1.0265625333207165</v>
      </c>
      <c r="O235" s="10">
        <f t="shared" si="93"/>
        <v>1.026720072888808</v>
      </c>
      <c r="P235" s="10">
        <f t="shared" si="93"/>
        <v>1.0246447744452922</v>
      </c>
      <c r="Q235" s="10">
        <f t="shared" si="93"/>
        <v>1.0245417477825833</v>
      </c>
      <c r="R235" s="10">
        <f t="shared" si="93"/>
        <v>1.025163963664063</v>
      </c>
      <c r="S235" s="10">
        <f t="shared" si="93"/>
        <v>1.0249469486032434</v>
      </c>
      <c r="T235" s="10">
        <f t="shared" si="93"/>
        <v>1.0246437160722874</v>
      </c>
      <c r="U235" s="10">
        <f t="shared" si="93"/>
        <v>1.0247560062515741</v>
      </c>
      <c r="V235" s="10">
        <f t="shared" si="93"/>
        <v>0</v>
      </c>
      <c r="W235" s="10" t="str">
        <f t="shared" si="93"/>
        <v>-</v>
      </c>
      <c r="X235" s="10" t="str">
        <f t="shared" si="93"/>
        <v>-</v>
      </c>
      <c r="Y235" s="10" t="str">
        <f t="shared" si="93"/>
        <v>-</v>
      </c>
      <c r="Z235" s="10" t="str">
        <f t="shared" si="93"/>
        <v>-</v>
      </c>
      <c r="AA235" s="10" t="str">
        <f t="shared" si="93"/>
        <v>-</v>
      </c>
      <c r="AB235" s="10" t="str">
        <f t="shared" si="93"/>
        <v>-</v>
      </c>
      <c r="AC235" s="10" t="str">
        <f t="shared" si="93"/>
        <v>-</v>
      </c>
      <c r="AD235" s="10" t="str">
        <f t="shared" si="93"/>
        <v>-</v>
      </c>
      <c r="AE235" s="10" t="str">
        <f t="shared" si="93"/>
        <v>-</v>
      </c>
      <c r="AF235" s="10" t="str">
        <f t="shared" si="93"/>
        <v>-</v>
      </c>
      <c r="AG235" s="10" t="str">
        <f t="shared" si="93"/>
        <v>-</v>
      </c>
      <c r="AH235" s="10" t="str">
        <f t="shared" si="93"/>
        <v>-</v>
      </c>
      <c r="AI235" s="10" t="str">
        <f t="shared" si="93"/>
        <v>-</v>
      </c>
      <c r="AJ235" s="10" t="str">
        <f t="shared" si="93"/>
        <v>-</v>
      </c>
      <c r="AK235" s="10" t="str">
        <f t="shared" si="93"/>
        <v>-</v>
      </c>
      <c r="AL235" s="9" t="str">
        <f t="shared" si="93"/>
        <v>-</v>
      </c>
    </row>
    <row r="236" spans="2:39" hidden="1" outlineLevel="2">
      <c r="D236" s="29" t="s">
        <v>12</v>
      </c>
      <c r="E236" s="14" t="s">
        <v>0</v>
      </c>
      <c r="F236" s="13">
        <f>+IF((E17-E21)&lt;&gt;0,(F17-F21)/(E17-E21),"-")</f>
        <v>0.97087684026042576</v>
      </c>
      <c r="G236" s="13">
        <f>+IF((F17-F21)&lt;&gt;0,(G17-G21)/(F17-F21),"-")</f>
        <v>1.1093528136671487</v>
      </c>
      <c r="H236" s="12">
        <f>+IF((F17-F21)&lt;&gt;0,(H17-H21)/(F17-F21),"-")</f>
        <v>1.0818420186516327</v>
      </c>
      <c r="I236" s="11">
        <f>+IF((H17-H21)&lt;&gt;0,(I17-I21)/(H17-H21),"-")</f>
        <v>1.0426233202105915</v>
      </c>
      <c r="J236" s="10">
        <f t="shared" ref="J236:AL236" si="94">+IF((I17-I21)&lt;&gt;0,(J17-J21)/(I17-I21),"-")</f>
        <v>0.91056125718513437</v>
      </c>
      <c r="K236" s="10">
        <f t="shared" si="94"/>
        <v>0.99327461211355672</v>
      </c>
      <c r="L236" s="10">
        <f t="shared" si="94"/>
        <v>1.0299999863590739</v>
      </c>
      <c r="M236" s="10">
        <f t="shared" si="94"/>
        <v>1.0300000006970325</v>
      </c>
      <c r="N236" s="10">
        <f t="shared" si="94"/>
        <v>1.0300000087974979</v>
      </c>
      <c r="O236" s="10">
        <f t="shared" si="94"/>
        <v>1.0299999927727801</v>
      </c>
      <c r="P236" s="10">
        <f t="shared" si="94"/>
        <v>1.0299999795877282</v>
      </c>
      <c r="Q236" s="10">
        <f t="shared" si="94"/>
        <v>1.0300000328231318</v>
      </c>
      <c r="R236" s="10">
        <f t="shared" si="94"/>
        <v>1.0299999446834947</v>
      </c>
      <c r="S236" s="10">
        <f t="shared" si="94"/>
        <v>1.0299999824873864</v>
      </c>
      <c r="T236" s="10">
        <f t="shared" si="94"/>
        <v>1.0300000708439068</v>
      </c>
      <c r="U236" s="10">
        <f t="shared" si="94"/>
        <v>1.0299999576312198</v>
      </c>
      <c r="V236" s="10">
        <f t="shared" si="94"/>
        <v>0</v>
      </c>
      <c r="W236" s="10" t="str">
        <f t="shared" si="94"/>
        <v>-</v>
      </c>
      <c r="X236" s="10" t="str">
        <f t="shared" si="94"/>
        <v>-</v>
      </c>
      <c r="Y236" s="10" t="str">
        <f t="shared" si="94"/>
        <v>-</v>
      </c>
      <c r="Z236" s="10" t="str">
        <f t="shared" si="94"/>
        <v>-</v>
      </c>
      <c r="AA236" s="10" t="str">
        <f t="shared" si="94"/>
        <v>-</v>
      </c>
      <c r="AB236" s="10" t="str">
        <f t="shared" si="94"/>
        <v>-</v>
      </c>
      <c r="AC236" s="10" t="str">
        <f t="shared" si="94"/>
        <v>-</v>
      </c>
      <c r="AD236" s="10" t="str">
        <f t="shared" si="94"/>
        <v>-</v>
      </c>
      <c r="AE236" s="10" t="str">
        <f t="shared" si="94"/>
        <v>-</v>
      </c>
      <c r="AF236" s="10" t="str">
        <f t="shared" si="94"/>
        <v>-</v>
      </c>
      <c r="AG236" s="10" t="str">
        <f t="shared" si="94"/>
        <v>-</v>
      </c>
      <c r="AH236" s="10" t="str">
        <f t="shared" si="94"/>
        <v>-</v>
      </c>
      <c r="AI236" s="10" t="str">
        <f t="shared" si="94"/>
        <v>-</v>
      </c>
      <c r="AJ236" s="10" t="str">
        <f t="shared" si="94"/>
        <v>-</v>
      </c>
      <c r="AK236" s="10" t="str">
        <f t="shared" si="94"/>
        <v>-</v>
      </c>
      <c r="AL236" s="9" t="str">
        <f t="shared" si="94"/>
        <v>-</v>
      </c>
    </row>
    <row r="237" spans="2:39" ht="24" hidden="1" outlineLevel="2">
      <c r="D237" s="29" t="s">
        <v>6</v>
      </c>
      <c r="E237" s="14" t="s">
        <v>0</v>
      </c>
      <c r="F237" s="13" t="str">
        <f>+IF(E78&lt;&gt;0,F78/E78,"-")</f>
        <v>-</v>
      </c>
      <c r="G237" s="13" t="str">
        <f>+IF(F78&lt;&gt;0,G78/F78,"-")</f>
        <v>-</v>
      </c>
      <c r="H237" s="12" t="str">
        <f>+IF(F78&lt;&gt;0,H78/F78,"-")</f>
        <v>-</v>
      </c>
      <c r="I237" s="11" t="str">
        <f>+IF(H78&lt;&gt;0,I78/H78,"-")</f>
        <v>-</v>
      </c>
      <c r="J237" s="10">
        <f t="shared" ref="J237:AL237" si="95">+IF(I78&lt;&gt;0,J78/I78,"-")</f>
        <v>8.7487833069716511E-2</v>
      </c>
      <c r="K237" s="10">
        <f t="shared" si="95"/>
        <v>0</v>
      </c>
      <c r="L237" s="10" t="str">
        <f t="shared" si="95"/>
        <v>-</v>
      </c>
      <c r="M237" s="10" t="str">
        <f t="shared" si="95"/>
        <v>-</v>
      </c>
      <c r="N237" s="10" t="str">
        <f t="shared" si="95"/>
        <v>-</v>
      </c>
      <c r="O237" s="10" t="str">
        <f t="shared" si="95"/>
        <v>-</v>
      </c>
      <c r="P237" s="10" t="str">
        <f t="shared" si="95"/>
        <v>-</v>
      </c>
      <c r="Q237" s="10" t="str">
        <f t="shared" si="95"/>
        <v>-</v>
      </c>
      <c r="R237" s="10" t="str">
        <f t="shared" si="95"/>
        <v>-</v>
      </c>
      <c r="S237" s="10" t="str">
        <f t="shared" si="95"/>
        <v>-</v>
      </c>
      <c r="T237" s="10" t="str">
        <f t="shared" si="95"/>
        <v>-</v>
      </c>
      <c r="U237" s="10" t="str">
        <f t="shared" si="95"/>
        <v>-</v>
      </c>
      <c r="V237" s="10" t="str">
        <f t="shared" si="95"/>
        <v>-</v>
      </c>
      <c r="W237" s="10" t="str">
        <f t="shared" si="95"/>
        <v>-</v>
      </c>
      <c r="X237" s="10" t="str">
        <f t="shared" si="95"/>
        <v>-</v>
      </c>
      <c r="Y237" s="10" t="str">
        <f t="shared" si="95"/>
        <v>-</v>
      </c>
      <c r="Z237" s="10" t="str">
        <f t="shared" si="95"/>
        <v>-</v>
      </c>
      <c r="AA237" s="10" t="str">
        <f t="shared" si="95"/>
        <v>-</v>
      </c>
      <c r="AB237" s="10" t="str">
        <f t="shared" si="95"/>
        <v>-</v>
      </c>
      <c r="AC237" s="10" t="str">
        <f t="shared" si="95"/>
        <v>-</v>
      </c>
      <c r="AD237" s="10" t="str">
        <f t="shared" si="95"/>
        <v>-</v>
      </c>
      <c r="AE237" s="10" t="str">
        <f t="shared" si="95"/>
        <v>-</v>
      </c>
      <c r="AF237" s="10" t="str">
        <f t="shared" si="95"/>
        <v>-</v>
      </c>
      <c r="AG237" s="10" t="str">
        <f t="shared" si="95"/>
        <v>-</v>
      </c>
      <c r="AH237" s="10" t="str">
        <f t="shared" si="95"/>
        <v>-</v>
      </c>
      <c r="AI237" s="10" t="str">
        <f t="shared" si="95"/>
        <v>-</v>
      </c>
      <c r="AJ237" s="10" t="str">
        <f t="shared" si="95"/>
        <v>-</v>
      </c>
      <c r="AK237" s="10" t="str">
        <f t="shared" si="95"/>
        <v>-</v>
      </c>
      <c r="AL237" s="9" t="str">
        <f t="shared" si="95"/>
        <v>-</v>
      </c>
    </row>
    <row r="238" spans="2:39" hidden="1" outlineLevel="2">
      <c r="D238" s="29" t="s">
        <v>11</v>
      </c>
      <c r="E238" s="14" t="s">
        <v>0</v>
      </c>
      <c r="F238" s="13" t="str">
        <f t="shared" ref="F238:AL239" si="96">+IF(E18&lt;&gt;0,F18/E18,"-")</f>
        <v>-</v>
      </c>
      <c r="G238" s="13" t="str">
        <f t="shared" si="96"/>
        <v>-</v>
      </c>
      <c r="H238" s="12" t="str">
        <f>+IF(F18&lt;&gt;0,H18/F18,"-")</f>
        <v>-</v>
      </c>
      <c r="I238" s="11" t="str">
        <f t="shared" si="96"/>
        <v>-</v>
      </c>
      <c r="J238" s="10" t="str">
        <f t="shared" si="96"/>
        <v>-</v>
      </c>
      <c r="K238" s="10" t="str">
        <f t="shared" si="96"/>
        <v>-</v>
      </c>
      <c r="L238" s="10" t="str">
        <f t="shared" si="96"/>
        <v>-</v>
      </c>
      <c r="M238" s="10" t="str">
        <f t="shared" si="96"/>
        <v>-</v>
      </c>
      <c r="N238" s="10" t="str">
        <f t="shared" si="96"/>
        <v>-</v>
      </c>
      <c r="O238" s="10" t="str">
        <f t="shared" si="96"/>
        <v>-</v>
      </c>
      <c r="P238" s="10" t="str">
        <f t="shared" si="96"/>
        <v>-</v>
      </c>
      <c r="Q238" s="10" t="str">
        <f t="shared" si="96"/>
        <v>-</v>
      </c>
      <c r="R238" s="10" t="str">
        <f t="shared" si="96"/>
        <v>-</v>
      </c>
      <c r="S238" s="10" t="str">
        <f t="shared" si="96"/>
        <v>-</v>
      </c>
      <c r="T238" s="10" t="str">
        <f t="shared" si="96"/>
        <v>-</v>
      </c>
      <c r="U238" s="10" t="str">
        <f t="shared" si="96"/>
        <v>-</v>
      </c>
      <c r="V238" s="10" t="str">
        <f t="shared" si="96"/>
        <v>-</v>
      </c>
      <c r="W238" s="10" t="str">
        <f t="shared" si="96"/>
        <v>-</v>
      </c>
      <c r="X238" s="10" t="str">
        <f t="shared" si="96"/>
        <v>-</v>
      </c>
      <c r="Y238" s="10" t="str">
        <f t="shared" si="96"/>
        <v>-</v>
      </c>
      <c r="Z238" s="10" t="str">
        <f t="shared" si="96"/>
        <v>-</v>
      </c>
      <c r="AA238" s="10" t="str">
        <f t="shared" si="96"/>
        <v>-</v>
      </c>
      <c r="AB238" s="10" t="str">
        <f t="shared" si="96"/>
        <v>-</v>
      </c>
      <c r="AC238" s="10" t="str">
        <f t="shared" si="96"/>
        <v>-</v>
      </c>
      <c r="AD238" s="10" t="str">
        <f t="shared" si="96"/>
        <v>-</v>
      </c>
      <c r="AE238" s="10" t="str">
        <f t="shared" si="96"/>
        <v>-</v>
      </c>
      <c r="AF238" s="10" t="str">
        <f t="shared" si="96"/>
        <v>-</v>
      </c>
      <c r="AG238" s="10" t="str">
        <f t="shared" si="96"/>
        <v>-</v>
      </c>
      <c r="AH238" s="10" t="str">
        <f t="shared" si="96"/>
        <v>-</v>
      </c>
      <c r="AI238" s="10" t="str">
        <f t="shared" si="96"/>
        <v>-</v>
      </c>
      <c r="AJ238" s="10" t="str">
        <f t="shared" si="96"/>
        <v>-</v>
      </c>
      <c r="AK238" s="10" t="str">
        <f t="shared" si="96"/>
        <v>-</v>
      </c>
      <c r="AL238" s="9" t="str">
        <f t="shared" si="96"/>
        <v>-</v>
      </c>
    </row>
    <row r="239" spans="2:39" ht="24" hidden="1" outlineLevel="2">
      <c r="D239" s="28" t="s">
        <v>10</v>
      </c>
      <c r="E239" s="14" t="s">
        <v>0</v>
      </c>
      <c r="F239" s="13" t="str">
        <f t="shared" si="96"/>
        <v>-</v>
      </c>
      <c r="G239" s="13" t="str">
        <f t="shared" si="96"/>
        <v>-</v>
      </c>
      <c r="H239" s="12" t="str">
        <f>+IF(F19&lt;&gt;0,H19/F19,"-")</f>
        <v>-</v>
      </c>
      <c r="I239" s="11" t="str">
        <f t="shared" si="96"/>
        <v>-</v>
      </c>
      <c r="J239" s="10" t="str">
        <f t="shared" si="96"/>
        <v>-</v>
      </c>
      <c r="K239" s="10" t="str">
        <f t="shared" si="96"/>
        <v>-</v>
      </c>
      <c r="L239" s="10" t="str">
        <f t="shared" si="96"/>
        <v>-</v>
      </c>
      <c r="M239" s="10" t="str">
        <f t="shared" si="96"/>
        <v>-</v>
      </c>
      <c r="N239" s="10" t="str">
        <f t="shared" si="96"/>
        <v>-</v>
      </c>
      <c r="O239" s="10" t="str">
        <f t="shared" si="96"/>
        <v>-</v>
      </c>
      <c r="P239" s="10" t="str">
        <f t="shared" si="96"/>
        <v>-</v>
      </c>
      <c r="Q239" s="10" t="str">
        <f t="shared" si="96"/>
        <v>-</v>
      </c>
      <c r="R239" s="10" t="str">
        <f t="shared" si="96"/>
        <v>-</v>
      </c>
      <c r="S239" s="10" t="str">
        <f t="shared" si="96"/>
        <v>-</v>
      </c>
      <c r="T239" s="10" t="str">
        <f t="shared" si="96"/>
        <v>-</v>
      </c>
      <c r="U239" s="10" t="str">
        <f t="shared" si="96"/>
        <v>-</v>
      </c>
      <c r="V239" s="10" t="str">
        <f t="shared" si="96"/>
        <v>-</v>
      </c>
      <c r="W239" s="10" t="str">
        <f t="shared" si="96"/>
        <v>-</v>
      </c>
      <c r="X239" s="10" t="str">
        <f t="shared" si="96"/>
        <v>-</v>
      </c>
      <c r="Y239" s="10" t="str">
        <f t="shared" si="96"/>
        <v>-</v>
      </c>
      <c r="Z239" s="10" t="str">
        <f t="shared" si="96"/>
        <v>-</v>
      </c>
      <c r="AA239" s="10" t="str">
        <f t="shared" si="96"/>
        <v>-</v>
      </c>
      <c r="AB239" s="10" t="str">
        <f t="shared" si="96"/>
        <v>-</v>
      </c>
      <c r="AC239" s="10" t="str">
        <f t="shared" si="96"/>
        <v>-</v>
      </c>
      <c r="AD239" s="10" t="str">
        <f t="shared" si="96"/>
        <v>-</v>
      </c>
      <c r="AE239" s="10" t="str">
        <f t="shared" si="96"/>
        <v>-</v>
      </c>
      <c r="AF239" s="10" t="str">
        <f t="shared" si="96"/>
        <v>-</v>
      </c>
      <c r="AG239" s="10" t="str">
        <f t="shared" si="96"/>
        <v>-</v>
      </c>
      <c r="AH239" s="10" t="str">
        <f t="shared" si="96"/>
        <v>-</v>
      </c>
      <c r="AI239" s="10" t="str">
        <f t="shared" si="96"/>
        <v>-</v>
      </c>
      <c r="AJ239" s="10" t="str">
        <f t="shared" si="96"/>
        <v>-</v>
      </c>
      <c r="AK239" s="10" t="str">
        <f t="shared" si="96"/>
        <v>-</v>
      </c>
      <c r="AL239" s="9" t="str">
        <f t="shared" si="96"/>
        <v>-</v>
      </c>
    </row>
    <row r="240" spans="2:39" hidden="1" outlineLevel="2">
      <c r="D240" s="29" t="s">
        <v>9</v>
      </c>
      <c r="E240" s="14" t="s">
        <v>0</v>
      </c>
      <c r="F240" s="13">
        <f t="shared" ref="F240:AL242" si="97">+IF(E21&lt;&gt;0,F21/E21,"-")</f>
        <v>3.8739663770224353</v>
      </c>
      <c r="G240" s="13">
        <f t="shared" si="97"/>
        <v>1.4516870400271833</v>
      </c>
      <c r="H240" s="12">
        <f>+IF(F21&lt;&gt;0,H21/F21,"-")</f>
        <v>1.4866384276856162</v>
      </c>
      <c r="I240" s="11">
        <f t="shared" si="97"/>
        <v>1.1507342163457741</v>
      </c>
      <c r="J240" s="10">
        <f t="shared" si="97"/>
        <v>0.68724056668607603</v>
      </c>
      <c r="K240" s="10">
        <f t="shared" si="97"/>
        <v>1.1727272727272726</v>
      </c>
      <c r="L240" s="10">
        <f t="shared" si="97"/>
        <v>0.93023255813953487</v>
      </c>
      <c r="M240" s="10">
        <f t="shared" si="97"/>
        <v>0.92833333333333334</v>
      </c>
      <c r="N240" s="10">
        <f t="shared" si="97"/>
        <v>0.93536804308797128</v>
      </c>
      <c r="O240" s="10">
        <f t="shared" si="97"/>
        <v>0.93090211132437617</v>
      </c>
      <c r="P240" s="10">
        <f t="shared" si="97"/>
        <v>0.85154639175257729</v>
      </c>
      <c r="Q240" s="10">
        <f t="shared" si="97"/>
        <v>0.81113801452784506</v>
      </c>
      <c r="R240" s="10">
        <f t="shared" si="97"/>
        <v>0.78507462686567164</v>
      </c>
      <c r="S240" s="10">
        <f t="shared" si="97"/>
        <v>0.69581749049429653</v>
      </c>
      <c r="T240" s="10">
        <f t="shared" si="97"/>
        <v>0.50819672131147542</v>
      </c>
      <c r="U240" s="10">
        <f t="shared" si="97"/>
        <v>0</v>
      </c>
      <c r="V240" s="10" t="str">
        <f t="shared" si="97"/>
        <v>-</v>
      </c>
      <c r="W240" s="10" t="str">
        <f t="shared" si="97"/>
        <v>-</v>
      </c>
      <c r="X240" s="10" t="str">
        <f t="shared" si="97"/>
        <v>-</v>
      </c>
      <c r="Y240" s="10" t="str">
        <f t="shared" si="97"/>
        <v>-</v>
      </c>
      <c r="Z240" s="10" t="str">
        <f t="shared" si="97"/>
        <v>-</v>
      </c>
      <c r="AA240" s="10" t="str">
        <f t="shared" si="97"/>
        <v>-</v>
      </c>
      <c r="AB240" s="10" t="str">
        <f t="shared" si="97"/>
        <v>-</v>
      </c>
      <c r="AC240" s="10" t="str">
        <f t="shared" si="97"/>
        <v>-</v>
      </c>
      <c r="AD240" s="10" t="str">
        <f t="shared" si="97"/>
        <v>-</v>
      </c>
      <c r="AE240" s="10" t="str">
        <f t="shared" si="97"/>
        <v>-</v>
      </c>
      <c r="AF240" s="10" t="str">
        <f t="shared" si="97"/>
        <v>-</v>
      </c>
      <c r="AG240" s="10" t="str">
        <f t="shared" si="97"/>
        <v>-</v>
      </c>
      <c r="AH240" s="10" t="str">
        <f t="shared" si="97"/>
        <v>-</v>
      </c>
      <c r="AI240" s="10" t="str">
        <f t="shared" si="97"/>
        <v>-</v>
      </c>
      <c r="AJ240" s="10" t="str">
        <f t="shared" si="97"/>
        <v>-</v>
      </c>
      <c r="AK240" s="10" t="str">
        <f t="shared" si="97"/>
        <v>-</v>
      </c>
      <c r="AL240" s="9" t="str">
        <f t="shared" si="97"/>
        <v>-</v>
      </c>
    </row>
    <row r="241" spans="4:38" hidden="1" outlineLevel="2">
      <c r="D241" s="28" t="s">
        <v>8</v>
      </c>
      <c r="E241" s="14" t="s">
        <v>0</v>
      </c>
      <c r="F241" s="13">
        <f t="shared" si="97"/>
        <v>4.1187762209825189</v>
      </c>
      <c r="G241" s="13">
        <f t="shared" si="97"/>
        <v>1.521715246350966</v>
      </c>
      <c r="H241" s="12">
        <f>+IF(F22&lt;&gt;0,H22/F22,"-")</f>
        <v>1.5589002068684001</v>
      </c>
      <c r="I241" s="11">
        <f t="shared" si="97"/>
        <v>1.1529332046198439</v>
      </c>
      <c r="J241" s="10">
        <f t="shared" si="97"/>
        <v>0.69593649010125247</v>
      </c>
      <c r="K241" s="10">
        <f t="shared" si="97"/>
        <v>1.1727272727272726</v>
      </c>
      <c r="L241" s="10">
        <f t="shared" si="97"/>
        <v>0.93023255813953487</v>
      </c>
      <c r="M241" s="10">
        <f t="shared" si="97"/>
        <v>0.92833333333333334</v>
      </c>
      <c r="N241" s="10">
        <f t="shared" si="97"/>
        <v>0.93536804308797128</v>
      </c>
      <c r="O241" s="10">
        <f t="shared" si="97"/>
        <v>0.93090211132437617</v>
      </c>
      <c r="P241" s="10">
        <f t="shared" si="97"/>
        <v>0.85154639175257729</v>
      </c>
      <c r="Q241" s="10">
        <f t="shared" si="97"/>
        <v>0.81113801452784506</v>
      </c>
      <c r="R241" s="10">
        <f t="shared" si="97"/>
        <v>0.78507462686567164</v>
      </c>
      <c r="S241" s="10">
        <f t="shared" si="97"/>
        <v>0.69581749049429653</v>
      </c>
      <c r="T241" s="10">
        <f t="shared" si="97"/>
        <v>0.50819672131147542</v>
      </c>
      <c r="U241" s="10">
        <f t="shared" si="97"/>
        <v>0</v>
      </c>
      <c r="V241" s="10" t="str">
        <f t="shared" si="97"/>
        <v>-</v>
      </c>
      <c r="W241" s="10" t="str">
        <f t="shared" si="97"/>
        <v>-</v>
      </c>
      <c r="X241" s="10" t="str">
        <f t="shared" si="97"/>
        <v>-</v>
      </c>
      <c r="Y241" s="10" t="str">
        <f t="shared" si="97"/>
        <v>-</v>
      </c>
      <c r="Z241" s="10" t="str">
        <f t="shared" si="97"/>
        <v>-</v>
      </c>
      <c r="AA241" s="10" t="str">
        <f t="shared" si="97"/>
        <v>-</v>
      </c>
      <c r="AB241" s="10" t="str">
        <f t="shared" si="97"/>
        <v>-</v>
      </c>
      <c r="AC241" s="10" t="str">
        <f t="shared" si="97"/>
        <v>-</v>
      </c>
      <c r="AD241" s="10" t="str">
        <f t="shared" si="97"/>
        <v>-</v>
      </c>
      <c r="AE241" s="10" t="str">
        <f t="shared" si="97"/>
        <v>-</v>
      </c>
      <c r="AF241" s="10" t="str">
        <f t="shared" si="97"/>
        <v>-</v>
      </c>
      <c r="AG241" s="10" t="str">
        <f t="shared" si="97"/>
        <v>-</v>
      </c>
      <c r="AH241" s="10" t="str">
        <f t="shared" si="97"/>
        <v>-</v>
      </c>
      <c r="AI241" s="10" t="str">
        <f t="shared" si="97"/>
        <v>-</v>
      </c>
      <c r="AJ241" s="10" t="str">
        <f t="shared" si="97"/>
        <v>-</v>
      </c>
      <c r="AK241" s="10" t="str">
        <f t="shared" si="97"/>
        <v>-</v>
      </c>
      <c r="AL241" s="9" t="str">
        <f t="shared" si="97"/>
        <v>-</v>
      </c>
    </row>
    <row r="242" spans="4:38" hidden="1" outlineLevel="2">
      <c r="D242" s="15" t="s">
        <v>7</v>
      </c>
      <c r="E242" s="14" t="s">
        <v>0</v>
      </c>
      <c r="F242" s="13">
        <f t="shared" si="97"/>
        <v>1.7781377474527778</v>
      </c>
      <c r="G242" s="13">
        <f t="shared" si="97"/>
        <v>0.59311634718349016</v>
      </c>
      <c r="H242" s="12">
        <f>+IF(F23&lt;&gt;0,H23/F23,"-")</f>
        <v>0.36123453570194425</v>
      </c>
      <c r="I242" s="11">
        <f t="shared" si="97"/>
        <v>1.0580297456166052</v>
      </c>
      <c r="J242" s="10">
        <f t="shared" si="97"/>
        <v>1.1900728783796068</v>
      </c>
      <c r="K242" s="10">
        <f t="shared" si="97"/>
        <v>0.6548760774916822</v>
      </c>
      <c r="L242" s="10">
        <f t="shared" si="97"/>
        <v>0.69958294986619696</v>
      </c>
      <c r="M242" s="10">
        <f t="shared" si="97"/>
        <v>0.76783724918508534</v>
      </c>
      <c r="N242" s="10">
        <f t="shared" si="97"/>
        <v>1.077347430447926</v>
      </c>
      <c r="O242" s="10">
        <f t="shared" si="97"/>
        <v>0.64587401630879893</v>
      </c>
      <c r="P242" s="10">
        <f t="shared" si="97"/>
        <v>1.0449419122641426</v>
      </c>
      <c r="Q242" s="10">
        <f t="shared" si="97"/>
        <v>1.2625609130681614</v>
      </c>
      <c r="R242" s="10">
        <f t="shared" si="97"/>
        <v>1.0124907959257188</v>
      </c>
      <c r="S242" s="10">
        <f t="shared" si="97"/>
        <v>0.9794729517114541</v>
      </c>
      <c r="T242" s="10">
        <f t="shared" si="97"/>
        <v>1.1090430395791528</v>
      </c>
      <c r="U242" s="10">
        <f t="shared" si="97"/>
        <v>1.9542260504808331</v>
      </c>
      <c r="V242" s="10">
        <f t="shared" si="97"/>
        <v>0</v>
      </c>
      <c r="W242" s="10" t="str">
        <f t="shared" si="97"/>
        <v>-</v>
      </c>
      <c r="X242" s="10" t="str">
        <f t="shared" si="97"/>
        <v>-</v>
      </c>
      <c r="Y242" s="10" t="str">
        <f t="shared" si="97"/>
        <v>-</v>
      </c>
      <c r="Z242" s="10" t="str">
        <f t="shared" si="97"/>
        <v>-</v>
      </c>
      <c r="AA242" s="10" t="str">
        <f t="shared" si="97"/>
        <v>-</v>
      </c>
      <c r="AB242" s="10" t="str">
        <f t="shared" si="97"/>
        <v>-</v>
      </c>
      <c r="AC242" s="10" t="str">
        <f t="shared" si="97"/>
        <v>-</v>
      </c>
      <c r="AD242" s="10" t="str">
        <f t="shared" si="97"/>
        <v>-</v>
      </c>
      <c r="AE242" s="10" t="str">
        <f t="shared" si="97"/>
        <v>-</v>
      </c>
      <c r="AF242" s="10" t="str">
        <f t="shared" si="97"/>
        <v>-</v>
      </c>
      <c r="AG242" s="10" t="str">
        <f t="shared" si="97"/>
        <v>-</v>
      </c>
      <c r="AH242" s="10" t="str">
        <f t="shared" si="97"/>
        <v>-</v>
      </c>
      <c r="AI242" s="10" t="str">
        <f t="shared" si="97"/>
        <v>-</v>
      </c>
      <c r="AJ242" s="10" t="str">
        <f t="shared" si="97"/>
        <v>-</v>
      </c>
      <c r="AK242" s="10" t="str">
        <f t="shared" si="97"/>
        <v>-</v>
      </c>
      <c r="AL242" s="9" t="str">
        <f t="shared" si="97"/>
        <v>-</v>
      </c>
    </row>
    <row r="243" spans="4:38" ht="24" hidden="1" outlineLevel="2">
      <c r="D243" s="27" t="s">
        <v>6</v>
      </c>
      <c r="E243" s="7" t="s">
        <v>0</v>
      </c>
      <c r="F243" s="6" t="str">
        <f>+IF(E81&lt;&gt;0,F81/E81,"-")</f>
        <v>-</v>
      </c>
      <c r="G243" s="6" t="str">
        <f>+IF(F81&lt;&gt;0,G81/F81,"-")</f>
        <v>-</v>
      </c>
      <c r="H243" s="5" t="str">
        <f>+IF(F81&lt;&gt;0,H81/F81,"-")</f>
        <v>-</v>
      </c>
      <c r="I243" s="4" t="str">
        <f>+IF(H81&lt;&gt;0,I81/H81,"-")</f>
        <v>-</v>
      </c>
      <c r="J243" s="3">
        <f t="shared" ref="J243:AL243" si="98">+IF(I81&lt;&gt;0,J81/I81,"-")</f>
        <v>0.75077093939492201</v>
      </c>
      <c r="K243" s="3">
        <f t="shared" si="98"/>
        <v>0</v>
      </c>
      <c r="L243" s="3" t="str">
        <f t="shared" si="98"/>
        <v>-</v>
      </c>
      <c r="M243" s="3" t="str">
        <f t="shared" si="98"/>
        <v>-</v>
      </c>
      <c r="N243" s="3" t="str">
        <f t="shared" si="98"/>
        <v>-</v>
      </c>
      <c r="O243" s="3" t="str">
        <f t="shared" si="98"/>
        <v>-</v>
      </c>
      <c r="P243" s="3" t="str">
        <f t="shared" si="98"/>
        <v>-</v>
      </c>
      <c r="Q243" s="3" t="str">
        <f t="shared" si="98"/>
        <v>-</v>
      </c>
      <c r="R243" s="3" t="str">
        <f t="shared" si="98"/>
        <v>-</v>
      </c>
      <c r="S243" s="3" t="str">
        <f t="shared" si="98"/>
        <v>-</v>
      </c>
      <c r="T243" s="3" t="str">
        <f t="shared" si="98"/>
        <v>-</v>
      </c>
      <c r="U243" s="3" t="str">
        <f t="shared" si="98"/>
        <v>-</v>
      </c>
      <c r="V243" s="3" t="str">
        <f t="shared" si="98"/>
        <v>-</v>
      </c>
      <c r="W243" s="3" t="str">
        <f t="shared" si="98"/>
        <v>-</v>
      </c>
      <c r="X243" s="3" t="str">
        <f t="shared" si="98"/>
        <v>-</v>
      </c>
      <c r="Y243" s="3" t="str">
        <f t="shared" si="98"/>
        <v>-</v>
      </c>
      <c r="Z243" s="3" t="str">
        <f t="shared" si="98"/>
        <v>-</v>
      </c>
      <c r="AA243" s="3" t="str">
        <f t="shared" si="98"/>
        <v>-</v>
      </c>
      <c r="AB243" s="3" t="str">
        <f t="shared" si="98"/>
        <v>-</v>
      </c>
      <c r="AC243" s="3" t="str">
        <f t="shared" si="98"/>
        <v>-</v>
      </c>
      <c r="AD243" s="3" t="str">
        <f t="shared" si="98"/>
        <v>-</v>
      </c>
      <c r="AE243" s="3" t="str">
        <f t="shared" si="98"/>
        <v>-</v>
      </c>
      <c r="AF243" s="3" t="str">
        <f t="shared" si="98"/>
        <v>-</v>
      </c>
      <c r="AG243" s="3" t="str">
        <f t="shared" si="98"/>
        <v>-</v>
      </c>
      <c r="AH243" s="3" t="str">
        <f t="shared" si="98"/>
        <v>-</v>
      </c>
      <c r="AI243" s="3" t="str">
        <f t="shared" si="98"/>
        <v>-</v>
      </c>
      <c r="AJ243" s="3" t="str">
        <f t="shared" si="98"/>
        <v>-</v>
      </c>
      <c r="AK243" s="3" t="str">
        <f t="shared" si="98"/>
        <v>-</v>
      </c>
      <c r="AL243" s="2" t="str">
        <f t="shared" si="98"/>
        <v>-</v>
      </c>
    </row>
    <row r="244" spans="4:38" hidden="1" outlineLevel="2">
      <c r="D244" s="26" t="s">
        <v>5</v>
      </c>
      <c r="E244" s="25"/>
      <c r="F244" s="25"/>
      <c r="G244" s="25"/>
      <c r="H244" s="25"/>
      <c r="I244" s="24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</row>
    <row r="245" spans="4:38" hidden="1" outlineLevel="2">
      <c r="D245" s="22" t="s">
        <v>4</v>
      </c>
      <c r="E245" s="21" t="s">
        <v>0</v>
      </c>
      <c r="F245" s="20" t="str">
        <f t="shared" ref="F245:AL246" si="99">+IF(E63&lt;&gt;0,F63/E63,"-")</f>
        <v>-</v>
      </c>
      <c r="G245" s="20">
        <f t="shared" si="99"/>
        <v>1.1063697969063671</v>
      </c>
      <c r="H245" s="19">
        <f t="shared" si="99"/>
        <v>0.98474072218704134</v>
      </c>
      <c r="I245" s="18">
        <f t="shared" si="99"/>
        <v>1.0406830993227623</v>
      </c>
      <c r="J245" s="17">
        <f t="shared" si="99"/>
        <v>1.0063839221767219</v>
      </c>
      <c r="K245" s="17">
        <f t="shared" si="99"/>
        <v>1.0300001124458633</v>
      </c>
      <c r="L245" s="17">
        <f t="shared" si="99"/>
        <v>1.0299999727073177</v>
      </c>
      <c r="M245" s="17">
        <f t="shared" si="99"/>
        <v>1.0299999163228932</v>
      </c>
      <c r="N245" s="17">
        <f t="shared" si="99"/>
        <v>1.0300000054159943</v>
      </c>
      <c r="O245" s="17">
        <f t="shared" si="99"/>
        <v>1.0300000078873706</v>
      </c>
      <c r="P245" s="17">
        <f t="shared" si="99"/>
        <v>1.0300000855103262</v>
      </c>
      <c r="Q245" s="17">
        <f t="shared" si="99"/>
        <v>1.0299999838916947</v>
      </c>
      <c r="R245" s="17">
        <f t="shared" si="99"/>
        <v>1.0299999446615342</v>
      </c>
      <c r="S245" s="17">
        <f t="shared" si="99"/>
        <v>1.0300000373750737</v>
      </c>
      <c r="T245" s="17">
        <f t="shared" si="99"/>
        <v>1.029999959177712</v>
      </c>
      <c r="U245" s="17">
        <f t="shared" si="99"/>
        <v>1.0299999790824299</v>
      </c>
      <c r="V245" s="17">
        <f t="shared" si="99"/>
        <v>0</v>
      </c>
      <c r="W245" s="17" t="str">
        <f t="shared" si="99"/>
        <v>-</v>
      </c>
      <c r="X245" s="17" t="str">
        <f t="shared" si="99"/>
        <v>-</v>
      </c>
      <c r="Y245" s="17" t="str">
        <f t="shared" si="99"/>
        <v>-</v>
      </c>
      <c r="Z245" s="17" t="str">
        <f t="shared" si="99"/>
        <v>-</v>
      </c>
      <c r="AA245" s="17" t="str">
        <f t="shared" si="99"/>
        <v>-</v>
      </c>
      <c r="AB245" s="17" t="str">
        <f t="shared" si="99"/>
        <v>-</v>
      </c>
      <c r="AC245" s="17" t="str">
        <f t="shared" si="99"/>
        <v>-</v>
      </c>
      <c r="AD245" s="17" t="str">
        <f t="shared" si="99"/>
        <v>-</v>
      </c>
      <c r="AE245" s="17" t="str">
        <f t="shared" si="99"/>
        <v>-</v>
      </c>
      <c r="AF245" s="17" t="str">
        <f t="shared" si="99"/>
        <v>-</v>
      </c>
      <c r="AG245" s="17" t="str">
        <f t="shared" si="99"/>
        <v>-</v>
      </c>
      <c r="AH245" s="17" t="str">
        <f t="shared" si="99"/>
        <v>-</v>
      </c>
      <c r="AI245" s="17" t="str">
        <f t="shared" si="99"/>
        <v>-</v>
      </c>
      <c r="AJ245" s="17" t="str">
        <f t="shared" si="99"/>
        <v>-</v>
      </c>
      <c r="AK245" s="17" t="str">
        <f t="shared" si="99"/>
        <v>-</v>
      </c>
      <c r="AL245" s="16" t="str">
        <f t="shared" si="99"/>
        <v>-</v>
      </c>
    </row>
    <row r="246" spans="4:38" hidden="1" outlineLevel="2">
      <c r="D246" s="15" t="s">
        <v>3</v>
      </c>
      <c r="E246" s="14" t="s">
        <v>0</v>
      </c>
      <c r="F246" s="13">
        <f t="shared" si="99"/>
        <v>1.0348942269828973</v>
      </c>
      <c r="G246" s="13">
        <f t="shared" si="99"/>
        <v>0</v>
      </c>
      <c r="H246" s="12" t="str">
        <f t="shared" si="99"/>
        <v>-</v>
      </c>
      <c r="I246" s="11">
        <f t="shared" si="99"/>
        <v>1.5725646674528004</v>
      </c>
      <c r="J246" s="10">
        <f t="shared" si="99"/>
        <v>0.78663100933853924</v>
      </c>
      <c r="K246" s="10">
        <f t="shared" si="99"/>
        <v>1.015625</v>
      </c>
      <c r="L246" s="10">
        <f t="shared" si="99"/>
        <v>1.0153846153846153</v>
      </c>
      <c r="M246" s="10">
        <f t="shared" si="99"/>
        <v>1.0303030303030303</v>
      </c>
      <c r="N246" s="10">
        <f t="shared" si="99"/>
        <v>1.0294117647058822</v>
      </c>
      <c r="O246" s="10">
        <f t="shared" si="99"/>
        <v>1.0285714285714285</v>
      </c>
      <c r="P246" s="10">
        <f t="shared" si="99"/>
        <v>1.0277777777777777</v>
      </c>
      <c r="Q246" s="10">
        <f t="shared" si="99"/>
        <v>1.027027027027027</v>
      </c>
      <c r="R246" s="10">
        <f t="shared" si="99"/>
        <v>1.0263157894736843</v>
      </c>
      <c r="S246" s="10">
        <f t="shared" si="99"/>
        <v>1.0256410256410255</v>
      </c>
      <c r="T246" s="10">
        <f t="shared" si="99"/>
        <v>1.0249999999999999</v>
      </c>
      <c r="U246" s="10">
        <f t="shared" si="99"/>
        <v>1.024390243902439</v>
      </c>
      <c r="V246" s="10">
        <f t="shared" si="99"/>
        <v>0</v>
      </c>
      <c r="W246" s="10" t="str">
        <f t="shared" si="99"/>
        <v>-</v>
      </c>
      <c r="X246" s="10" t="str">
        <f t="shared" si="99"/>
        <v>-</v>
      </c>
      <c r="Y246" s="10" t="str">
        <f t="shared" si="99"/>
        <v>-</v>
      </c>
      <c r="Z246" s="10" t="str">
        <f t="shared" si="99"/>
        <v>-</v>
      </c>
      <c r="AA246" s="10" t="str">
        <f t="shared" si="99"/>
        <v>-</v>
      </c>
      <c r="AB246" s="10" t="str">
        <f t="shared" si="99"/>
        <v>-</v>
      </c>
      <c r="AC246" s="10" t="str">
        <f t="shared" si="99"/>
        <v>-</v>
      </c>
      <c r="AD246" s="10" t="str">
        <f t="shared" si="99"/>
        <v>-</v>
      </c>
      <c r="AE246" s="10" t="str">
        <f t="shared" si="99"/>
        <v>-</v>
      </c>
      <c r="AF246" s="10" t="str">
        <f t="shared" si="99"/>
        <v>-</v>
      </c>
      <c r="AG246" s="10" t="str">
        <f t="shared" si="99"/>
        <v>-</v>
      </c>
      <c r="AH246" s="10" t="str">
        <f t="shared" si="99"/>
        <v>-</v>
      </c>
      <c r="AI246" s="10" t="str">
        <f t="shared" si="99"/>
        <v>-</v>
      </c>
      <c r="AJ246" s="10" t="str">
        <f t="shared" si="99"/>
        <v>-</v>
      </c>
      <c r="AK246" s="10" t="str">
        <f t="shared" si="99"/>
        <v>-</v>
      </c>
      <c r="AL246" s="9" t="str">
        <f t="shared" si="99"/>
        <v>-</v>
      </c>
    </row>
    <row r="247" spans="4:38" hidden="1" outlineLevel="2">
      <c r="D247" s="15" t="s">
        <v>2</v>
      </c>
      <c r="E247" s="14" t="s">
        <v>0</v>
      </c>
      <c r="F247" s="13" t="str">
        <f t="shared" ref="F247:AL248" si="100">+IF(E66&lt;&gt;0,F66/E66,"-")</f>
        <v>-</v>
      </c>
      <c r="G247" s="13">
        <f t="shared" si="100"/>
        <v>1.1747280619611189</v>
      </c>
      <c r="H247" s="12">
        <f t="shared" si="100"/>
        <v>0</v>
      </c>
      <c r="I247" s="11" t="str">
        <f t="shared" si="100"/>
        <v>-</v>
      </c>
      <c r="J247" s="10">
        <f t="shared" si="100"/>
        <v>0.12145245103383118</v>
      </c>
      <c r="K247" s="10">
        <f t="shared" si="100"/>
        <v>0</v>
      </c>
      <c r="L247" s="10" t="str">
        <f t="shared" si="100"/>
        <v>-</v>
      </c>
      <c r="M247" s="10" t="str">
        <f t="shared" si="100"/>
        <v>-</v>
      </c>
      <c r="N247" s="10" t="str">
        <f t="shared" si="100"/>
        <v>-</v>
      </c>
      <c r="O247" s="10" t="str">
        <f t="shared" si="100"/>
        <v>-</v>
      </c>
      <c r="P247" s="10" t="str">
        <f t="shared" si="100"/>
        <v>-</v>
      </c>
      <c r="Q247" s="10" t="str">
        <f t="shared" si="100"/>
        <v>-</v>
      </c>
      <c r="R247" s="10" t="str">
        <f t="shared" si="100"/>
        <v>-</v>
      </c>
      <c r="S247" s="10" t="str">
        <f t="shared" si="100"/>
        <v>-</v>
      </c>
      <c r="T247" s="10" t="str">
        <f t="shared" si="100"/>
        <v>-</v>
      </c>
      <c r="U247" s="10" t="str">
        <f t="shared" si="100"/>
        <v>-</v>
      </c>
      <c r="V247" s="10" t="str">
        <f t="shared" si="100"/>
        <v>-</v>
      </c>
      <c r="W247" s="10" t="str">
        <f t="shared" si="100"/>
        <v>-</v>
      </c>
      <c r="X247" s="10" t="str">
        <f t="shared" si="100"/>
        <v>-</v>
      </c>
      <c r="Y247" s="10" t="str">
        <f t="shared" si="100"/>
        <v>-</v>
      </c>
      <c r="Z247" s="10" t="str">
        <f t="shared" si="100"/>
        <v>-</v>
      </c>
      <c r="AA247" s="10" t="str">
        <f t="shared" si="100"/>
        <v>-</v>
      </c>
      <c r="AB247" s="10" t="str">
        <f t="shared" si="100"/>
        <v>-</v>
      </c>
      <c r="AC247" s="10" t="str">
        <f t="shared" si="100"/>
        <v>-</v>
      </c>
      <c r="AD247" s="10" t="str">
        <f t="shared" si="100"/>
        <v>-</v>
      </c>
      <c r="AE247" s="10" t="str">
        <f t="shared" si="100"/>
        <v>-</v>
      </c>
      <c r="AF247" s="10" t="str">
        <f t="shared" si="100"/>
        <v>-</v>
      </c>
      <c r="AG247" s="10" t="str">
        <f t="shared" si="100"/>
        <v>-</v>
      </c>
      <c r="AH247" s="10" t="str">
        <f t="shared" si="100"/>
        <v>-</v>
      </c>
      <c r="AI247" s="10" t="str">
        <f t="shared" si="100"/>
        <v>-</v>
      </c>
      <c r="AJ247" s="10" t="str">
        <f t="shared" si="100"/>
        <v>-</v>
      </c>
      <c r="AK247" s="10" t="str">
        <f t="shared" si="100"/>
        <v>-</v>
      </c>
      <c r="AL247" s="9" t="str">
        <f t="shared" si="100"/>
        <v>-</v>
      </c>
    </row>
    <row r="248" spans="4:38" hidden="1" outlineLevel="2">
      <c r="D248" s="8" t="s">
        <v>1</v>
      </c>
      <c r="E248" s="7" t="s">
        <v>0</v>
      </c>
      <c r="F248" s="6" t="str">
        <f t="shared" si="100"/>
        <v>-</v>
      </c>
      <c r="G248" s="6">
        <f t="shared" si="100"/>
        <v>0.30711255115256647</v>
      </c>
      <c r="H248" s="5">
        <f t="shared" si="100"/>
        <v>0</v>
      </c>
      <c r="I248" s="4" t="str">
        <f t="shared" si="100"/>
        <v>-</v>
      </c>
      <c r="J248" s="3">
        <f t="shared" si="100"/>
        <v>0.68565305433806267</v>
      </c>
      <c r="K248" s="3">
        <f t="shared" si="100"/>
        <v>5.6115373551497766E-3</v>
      </c>
      <c r="L248" s="3">
        <f t="shared" si="100"/>
        <v>0</v>
      </c>
      <c r="M248" s="3" t="str">
        <f t="shared" si="100"/>
        <v>-</v>
      </c>
      <c r="N248" s="3" t="str">
        <f t="shared" si="100"/>
        <v>-</v>
      </c>
      <c r="O248" s="3" t="str">
        <f t="shared" si="100"/>
        <v>-</v>
      </c>
      <c r="P248" s="3" t="str">
        <f t="shared" si="100"/>
        <v>-</v>
      </c>
      <c r="Q248" s="3" t="str">
        <f t="shared" si="100"/>
        <v>-</v>
      </c>
      <c r="R248" s="3" t="str">
        <f t="shared" si="100"/>
        <v>-</v>
      </c>
      <c r="S248" s="3" t="str">
        <f t="shared" si="100"/>
        <v>-</v>
      </c>
      <c r="T248" s="3" t="str">
        <f t="shared" si="100"/>
        <v>-</v>
      </c>
      <c r="U248" s="3" t="str">
        <f t="shared" si="100"/>
        <v>-</v>
      </c>
      <c r="V248" s="3" t="str">
        <f t="shared" si="100"/>
        <v>-</v>
      </c>
      <c r="W248" s="3" t="str">
        <f t="shared" si="100"/>
        <v>-</v>
      </c>
      <c r="X248" s="3" t="str">
        <f t="shared" si="100"/>
        <v>-</v>
      </c>
      <c r="Y248" s="3" t="str">
        <f t="shared" si="100"/>
        <v>-</v>
      </c>
      <c r="Z248" s="3" t="str">
        <f t="shared" si="100"/>
        <v>-</v>
      </c>
      <c r="AA248" s="3" t="str">
        <f t="shared" si="100"/>
        <v>-</v>
      </c>
      <c r="AB248" s="3" t="str">
        <f t="shared" si="100"/>
        <v>-</v>
      </c>
      <c r="AC248" s="3" t="str">
        <f t="shared" si="100"/>
        <v>-</v>
      </c>
      <c r="AD248" s="3" t="str">
        <f t="shared" si="100"/>
        <v>-</v>
      </c>
      <c r="AE248" s="3" t="str">
        <f t="shared" si="100"/>
        <v>-</v>
      </c>
      <c r="AF248" s="3" t="str">
        <f t="shared" si="100"/>
        <v>-</v>
      </c>
      <c r="AG248" s="3" t="str">
        <f t="shared" si="100"/>
        <v>-</v>
      </c>
      <c r="AH248" s="3" t="str">
        <f t="shared" si="100"/>
        <v>-</v>
      </c>
      <c r="AI248" s="3" t="str">
        <f t="shared" si="100"/>
        <v>-</v>
      </c>
      <c r="AJ248" s="3" t="str">
        <f t="shared" si="100"/>
        <v>-</v>
      </c>
      <c r="AK248" s="3" t="str">
        <f t="shared" si="100"/>
        <v>-</v>
      </c>
      <c r="AL248" s="2" t="str">
        <f t="shared" si="100"/>
        <v>-</v>
      </c>
    </row>
    <row r="249" spans="4:38" hidden="1"/>
    <row r="250" spans="4:38" hidden="1"/>
  </sheetData>
  <sheetProtection password="DB8D" sheet="1" objects="1" scenarios="1" selectLockedCells="1"/>
  <autoFilter ref="A4:A99"/>
  <mergeCells count="4">
    <mergeCell ref="E3:F3"/>
    <mergeCell ref="B1:C1"/>
    <mergeCell ref="M1:O1"/>
    <mergeCell ref="B2:P2"/>
  </mergeCells>
  <conditionalFormatting sqref="I228:AL243">
    <cfRule type="cellIs" priority="15" stopIfTrue="1" operator="equal">
      <formula>"-"</formula>
    </cfRule>
    <cfRule type="cellIs" dxfId="14" priority="16" stopIfTrue="1" operator="between">
      <formula>0.00000001</formula>
      <formula>1</formula>
    </cfRule>
    <cfRule type="cellIs" dxfId="13" priority="17" stopIfTrue="1" operator="greaterThan">
      <formula>1</formula>
    </cfRule>
  </conditionalFormatting>
  <conditionalFormatting sqref="I245:AL248">
    <cfRule type="cellIs" priority="12" stopIfTrue="1" operator="equal">
      <formula>"-"</formula>
    </cfRule>
    <cfRule type="cellIs" dxfId="12" priority="13" stopIfTrue="1" operator="between">
      <formula>0.00000001</formula>
      <formula>1</formula>
    </cfRule>
    <cfRule type="cellIs" dxfId="11" priority="14" stopIfTrue="1" operator="greaterThan">
      <formula>1</formula>
    </cfRule>
  </conditionalFormatting>
  <conditionalFormatting sqref="I58:AL59">
    <cfRule type="expression" dxfId="10" priority="11" stopIfTrue="1">
      <formula>LEFT(I58,3)="Nie"</formula>
    </cfRule>
  </conditionalFormatting>
  <conditionalFormatting sqref="I188:AL199">
    <cfRule type="cellIs" dxfId="9" priority="8" stopIfTrue="1" operator="notBetween">
      <formula>-$D$187</formula>
      <formula>$D$187</formula>
    </cfRule>
    <cfRule type="cellIs" dxfId="8" priority="9" stopIfTrue="1" operator="notBetween">
      <formula>-$D$186</formula>
      <formula>$D$186</formula>
    </cfRule>
    <cfRule type="cellIs" dxfId="7" priority="10" stopIfTrue="1" operator="notBetween">
      <formula>-$D$185</formula>
      <formula>$D$185</formula>
    </cfRule>
  </conditionalFormatting>
  <conditionalFormatting sqref="I118:AL118">
    <cfRule type="cellIs" dxfId="6" priority="7" stopIfTrue="1" operator="between">
      <formula>0</formula>
      <formula>1000000000000</formula>
    </cfRule>
  </conditionalFormatting>
  <conditionalFormatting sqref="I119:AL121">
    <cfRule type="cellIs" dxfId="5" priority="6" stopIfTrue="1" operator="between">
      <formula>-1000000000000</formula>
      <formula>1000000000000</formula>
    </cfRule>
  </conditionalFormatting>
  <conditionalFormatting sqref="I116:AL117">
    <cfRule type="cellIs" dxfId="4" priority="5" stopIfTrue="1" operator="between">
      <formula>-1000000000000</formula>
      <formula>1000000000000</formula>
    </cfRule>
  </conditionalFormatting>
  <conditionalFormatting sqref="I122:AL166">
    <cfRule type="cellIs" dxfId="3" priority="4" stopIfTrue="1" operator="equal">
      <formula>"BŁĄD"</formula>
    </cfRule>
  </conditionalFormatting>
  <conditionalFormatting sqref="I180:AL183">
    <cfRule type="cellIs" dxfId="2" priority="1" stopIfTrue="1" operator="lessThan">
      <formula>$D$177</formula>
    </cfRule>
    <cfRule type="cellIs" dxfId="1" priority="2" stopIfTrue="1" operator="lessThan">
      <formula>$D$178</formula>
    </cfRule>
    <cfRule type="cellIs" dxfId="0" priority="3" stopIfTrue="1" operator="lessThan">
      <formula>$D$179</formula>
    </cfRule>
  </conditionalFormatting>
  <pageMargins left="0.51181102362204722" right="0.51181102362204722" top="0.47244094488188981" bottom="0.47244094488188981" header="0.31496062992125984" footer="0.31496062992125984"/>
  <pageSetup paperSize="8" scale="70" fitToHeight="2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Zał.1_WPF_bazowy</vt:lpstr>
      <vt:lpstr>Zał.1_WPF_bazowy!Obszar_wydruku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MBachta</dc:creator>
  <cp:lastModifiedBy>E_Stefańska</cp:lastModifiedBy>
  <cp:lastPrinted>2013-03-29T12:41:02Z</cp:lastPrinted>
  <dcterms:created xsi:type="dcterms:W3CDTF">2013-03-27T13:37:07Z</dcterms:created>
  <dcterms:modified xsi:type="dcterms:W3CDTF">2013-03-29T12:41:46Z</dcterms:modified>
</cp:coreProperties>
</file>